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0" yWindow="65296" windowWidth="9720" windowHeight="6495" tabRatio="599" activeTab="0"/>
  </bookViews>
  <sheets>
    <sheet name="火災防護" sheetId="1" r:id="rId1"/>
  </sheets>
  <definedNames>
    <definedName name="HTML_CodePage" hidden="1">950</definedName>
    <definedName name="HTML_Control" hidden="1">{"'A12'!$A$2:$F$52","'A12'!$A$1:$F$52"}</definedName>
    <definedName name="HTML_Description" hidden="1">""</definedName>
    <definedName name="HTML_Email" hidden="1">""</definedName>
    <definedName name="HTML_Header" hidden="1">"A12"</definedName>
    <definedName name="HTML_LastUpdate" hidden="1">"1999/6/16"</definedName>
    <definedName name="HTML_LineAfter" hidden="1">FALSE</definedName>
    <definedName name="HTML_LineBefore" hidden="1">FALSE</definedName>
    <definedName name="HTML_Name" hidden="1">"主計室"</definedName>
    <definedName name="HTML_OBDlg2" hidden="1">TRUE</definedName>
    <definedName name="HTML_OBDlg4" hidden="1">TRUE</definedName>
    <definedName name="HTML_OS" hidden="1">0</definedName>
    <definedName name="HTML_PathFile" hidden="1">"C:\joy\Mya12.htm"</definedName>
    <definedName name="HTML_Title" hidden="1">"A統計資料"</definedName>
  </definedNames>
  <calcPr fullCalcOnLoad="1"/>
</workbook>
</file>

<file path=xl/sharedStrings.xml><?xml version="1.0" encoding="utf-8"?>
<sst xmlns="http://schemas.openxmlformats.org/spreadsheetml/2006/main" count="211" uniqueCount="150">
  <si>
    <t>A、本市重要統計指標</t>
  </si>
  <si>
    <t>77年</t>
  </si>
  <si>
    <t>78年</t>
  </si>
  <si>
    <t>79年</t>
  </si>
  <si>
    <t>80年</t>
  </si>
  <si>
    <t>81年</t>
  </si>
  <si>
    <t>82年</t>
  </si>
  <si>
    <t>83年</t>
  </si>
  <si>
    <t>84年</t>
  </si>
  <si>
    <t>85年</t>
  </si>
  <si>
    <t>86年</t>
  </si>
  <si>
    <t>-</t>
  </si>
  <si>
    <t>10、火   災   防   護</t>
  </si>
  <si>
    <t>消防設備</t>
  </si>
  <si>
    <t>年月底數</t>
  </si>
  <si>
    <t>死傷人數</t>
  </si>
  <si>
    <t>消防</t>
  </si>
  <si>
    <t>死亡</t>
  </si>
  <si>
    <t>受傷</t>
  </si>
  <si>
    <t>車輛</t>
  </si>
  <si>
    <t>人員</t>
  </si>
  <si>
    <r>
      <t xml:space="preserve">       </t>
    </r>
    <r>
      <rPr>
        <sz val="12"/>
        <rFont val="新細明體"/>
        <family val="1"/>
      </rPr>
      <t>3月</t>
    </r>
  </si>
  <si>
    <r>
      <t xml:space="preserve">       </t>
    </r>
    <r>
      <rPr>
        <sz val="12"/>
        <rFont val="新細明體"/>
        <family val="1"/>
      </rPr>
      <t>4月</t>
    </r>
  </si>
  <si>
    <r>
      <t xml:space="preserve">       </t>
    </r>
    <r>
      <rPr>
        <sz val="12"/>
        <rFont val="新細明體"/>
        <family val="1"/>
      </rPr>
      <t>2月</t>
    </r>
  </si>
  <si>
    <r>
      <t xml:space="preserve">     </t>
    </r>
    <r>
      <rPr>
        <sz val="12"/>
        <rFont val="新細明體"/>
        <family val="1"/>
      </rPr>
      <t>10月</t>
    </r>
  </si>
  <si>
    <r>
      <t xml:space="preserve">     </t>
    </r>
    <r>
      <rPr>
        <sz val="12"/>
        <rFont val="新細明體"/>
        <family val="1"/>
      </rPr>
      <t>11月</t>
    </r>
  </si>
  <si>
    <r>
      <t xml:space="preserve">     </t>
    </r>
    <r>
      <rPr>
        <sz val="12"/>
        <rFont val="新細明體"/>
        <family val="1"/>
      </rPr>
      <t>12月</t>
    </r>
  </si>
  <si>
    <r>
      <t xml:space="preserve">            2</t>
    </r>
    <r>
      <rPr>
        <sz val="12"/>
        <rFont val="新細明體"/>
        <family val="1"/>
      </rPr>
      <t>月</t>
    </r>
  </si>
  <si>
    <t>87年</t>
  </si>
  <si>
    <r>
      <t xml:space="preserve">       5</t>
    </r>
    <r>
      <rPr>
        <sz val="12"/>
        <rFont val="新細明體"/>
        <family val="1"/>
      </rPr>
      <t>月</t>
    </r>
  </si>
  <si>
    <t>-</t>
  </si>
  <si>
    <r>
      <t xml:space="preserve">       6</t>
    </r>
    <r>
      <rPr>
        <sz val="12"/>
        <rFont val="新細明體"/>
        <family val="1"/>
      </rPr>
      <t>月</t>
    </r>
  </si>
  <si>
    <r>
      <t xml:space="preserve">       7</t>
    </r>
    <r>
      <rPr>
        <sz val="12"/>
        <rFont val="新細明體"/>
        <family val="1"/>
      </rPr>
      <t>月</t>
    </r>
  </si>
  <si>
    <r>
      <t xml:space="preserve">      8</t>
    </r>
    <r>
      <rPr>
        <sz val="12"/>
        <rFont val="新細明體"/>
        <family val="1"/>
      </rPr>
      <t>月</t>
    </r>
  </si>
  <si>
    <t>千分點</t>
  </si>
  <si>
    <r>
      <t xml:space="preserve">      9</t>
    </r>
    <r>
      <rPr>
        <sz val="12"/>
        <rFont val="新細明體"/>
        <family val="1"/>
      </rPr>
      <t>月</t>
    </r>
  </si>
  <si>
    <r>
      <t xml:space="preserve">            1</t>
    </r>
    <r>
      <rPr>
        <sz val="12"/>
        <rFont val="新細明體"/>
        <family val="1"/>
      </rPr>
      <t>月</t>
    </r>
  </si>
  <si>
    <r>
      <t xml:space="preserve">      10</t>
    </r>
    <r>
      <rPr>
        <sz val="12"/>
        <rFont val="新細明體"/>
        <family val="1"/>
      </rPr>
      <t>月</t>
    </r>
  </si>
  <si>
    <t>88年</t>
  </si>
  <si>
    <r>
      <t xml:space="preserve">       3</t>
    </r>
    <r>
      <rPr>
        <sz val="12"/>
        <rFont val="新細明體"/>
        <family val="1"/>
      </rPr>
      <t>月</t>
    </r>
  </si>
  <si>
    <r>
      <t xml:space="preserve">       4</t>
    </r>
    <r>
      <rPr>
        <sz val="12"/>
        <rFont val="新細明體"/>
        <family val="1"/>
      </rPr>
      <t>月</t>
    </r>
  </si>
  <si>
    <r>
      <t xml:space="preserve">            2</t>
    </r>
    <r>
      <rPr>
        <sz val="12"/>
        <rFont val="新細明體"/>
        <family val="1"/>
      </rPr>
      <t>月</t>
    </r>
  </si>
  <si>
    <r>
      <t xml:space="preserve">            3</t>
    </r>
    <r>
      <rPr>
        <sz val="12"/>
        <rFont val="新細明體"/>
        <family val="1"/>
      </rPr>
      <t>月</t>
    </r>
  </si>
  <si>
    <t>年月別</t>
  </si>
  <si>
    <r>
      <t>火</t>
    </r>
    <r>
      <rPr>
        <sz val="12"/>
        <rFont val="Times New Roman"/>
        <family val="1"/>
      </rPr>
      <t xml:space="preserve">                                                      </t>
    </r>
    <r>
      <rPr>
        <sz val="12"/>
        <rFont val="新細明體"/>
        <family val="1"/>
      </rPr>
      <t>災</t>
    </r>
  </si>
  <si>
    <r>
      <t xml:space="preserve">       5</t>
    </r>
    <r>
      <rPr>
        <sz val="12"/>
        <rFont val="新細明體"/>
        <family val="1"/>
      </rPr>
      <t>月</t>
    </r>
  </si>
  <si>
    <t>平均每日發生次數</t>
  </si>
  <si>
    <t>每千戶火災發生數</t>
  </si>
  <si>
    <t>被毀損房屋數</t>
  </si>
  <si>
    <t>財物估計損失（千元）</t>
  </si>
  <si>
    <r>
      <t>發生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次數</t>
    </r>
  </si>
  <si>
    <r>
      <t xml:space="preserve">       6</t>
    </r>
    <r>
      <rPr>
        <sz val="12"/>
        <rFont val="新細明體"/>
        <family val="1"/>
      </rPr>
      <t>月</t>
    </r>
  </si>
  <si>
    <r>
      <t xml:space="preserve">       8</t>
    </r>
    <r>
      <rPr>
        <sz val="12"/>
        <rFont val="新細明體"/>
        <family val="1"/>
      </rPr>
      <t>月</t>
    </r>
  </si>
  <si>
    <r>
      <t xml:space="preserve">       9</t>
    </r>
    <r>
      <rPr>
        <sz val="12"/>
        <rFont val="新細明體"/>
        <family val="1"/>
      </rPr>
      <t>月</t>
    </r>
  </si>
  <si>
    <t>當月較上月增減%</t>
  </si>
  <si>
    <t>當月較上年同月增減%</t>
  </si>
  <si>
    <r>
      <t xml:space="preserve">       10</t>
    </r>
    <r>
      <rPr>
        <sz val="12"/>
        <rFont val="細明體"/>
        <family val="3"/>
      </rPr>
      <t>月</t>
    </r>
  </si>
  <si>
    <r>
      <t xml:space="preserve">       11</t>
    </r>
    <r>
      <rPr>
        <sz val="12"/>
        <rFont val="細明體"/>
        <family val="3"/>
      </rPr>
      <t>月</t>
    </r>
  </si>
  <si>
    <r>
      <t xml:space="preserve">       12</t>
    </r>
    <r>
      <rPr>
        <sz val="12"/>
        <rFont val="細明體"/>
        <family val="3"/>
      </rPr>
      <t>月</t>
    </r>
  </si>
  <si>
    <t>89年</t>
  </si>
  <si>
    <r>
      <t xml:space="preserve">            3</t>
    </r>
    <r>
      <rPr>
        <sz val="12"/>
        <rFont val="新細明體"/>
        <family val="1"/>
      </rPr>
      <t>月</t>
    </r>
  </si>
  <si>
    <r>
      <t xml:space="preserve">            4</t>
    </r>
    <r>
      <rPr>
        <sz val="12"/>
        <rFont val="新細明體"/>
        <family val="1"/>
      </rPr>
      <t>月</t>
    </r>
  </si>
  <si>
    <r>
      <t xml:space="preserve">            5</t>
    </r>
    <r>
      <rPr>
        <sz val="12"/>
        <rFont val="細明體"/>
        <family val="3"/>
      </rPr>
      <t>月</t>
    </r>
  </si>
  <si>
    <r>
      <t xml:space="preserve">            6</t>
    </r>
    <r>
      <rPr>
        <sz val="12"/>
        <rFont val="細明體"/>
        <family val="3"/>
      </rPr>
      <t>月</t>
    </r>
  </si>
  <si>
    <r>
      <t xml:space="preserve">            7</t>
    </r>
    <r>
      <rPr>
        <sz val="12"/>
        <rFont val="細明體"/>
        <family val="3"/>
      </rPr>
      <t>月</t>
    </r>
  </si>
  <si>
    <r>
      <t xml:space="preserve">            8</t>
    </r>
    <r>
      <rPr>
        <sz val="12"/>
        <rFont val="細明體"/>
        <family val="3"/>
      </rPr>
      <t>月</t>
    </r>
  </si>
  <si>
    <r>
      <t xml:space="preserve">            9</t>
    </r>
    <r>
      <rPr>
        <sz val="12"/>
        <rFont val="細明體"/>
        <family val="3"/>
      </rPr>
      <t>月</t>
    </r>
  </si>
  <si>
    <r>
      <t xml:space="preserve">           10</t>
    </r>
    <r>
      <rPr>
        <sz val="12"/>
        <rFont val="細明體"/>
        <family val="3"/>
      </rPr>
      <t>月</t>
    </r>
  </si>
  <si>
    <r>
      <t xml:space="preserve">           11</t>
    </r>
    <r>
      <rPr>
        <sz val="12"/>
        <rFont val="細明體"/>
        <family val="3"/>
      </rPr>
      <t>月</t>
    </r>
  </si>
  <si>
    <r>
      <t xml:space="preserve">           12</t>
    </r>
    <r>
      <rPr>
        <sz val="12"/>
        <rFont val="細明體"/>
        <family val="3"/>
      </rPr>
      <t>月</t>
    </r>
  </si>
  <si>
    <t>90年</t>
  </si>
  <si>
    <r>
      <t xml:space="preserve">            4</t>
    </r>
    <r>
      <rPr>
        <sz val="12"/>
        <rFont val="新細明體"/>
        <family val="1"/>
      </rPr>
      <t>月</t>
    </r>
  </si>
  <si>
    <r>
      <t xml:space="preserve">            5</t>
    </r>
    <r>
      <rPr>
        <sz val="12"/>
        <rFont val="新細明體"/>
        <family val="1"/>
      </rPr>
      <t>月</t>
    </r>
  </si>
  <si>
    <r>
      <t xml:space="preserve">            6</t>
    </r>
    <r>
      <rPr>
        <sz val="12"/>
        <rFont val="新細明體"/>
        <family val="1"/>
      </rPr>
      <t>月</t>
    </r>
  </si>
  <si>
    <r>
      <t xml:space="preserve">            7</t>
    </r>
    <r>
      <rPr>
        <sz val="12"/>
        <rFont val="新細明體"/>
        <family val="1"/>
      </rPr>
      <t>月</t>
    </r>
  </si>
  <si>
    <r>
      <t xml:space="preserve">            8</t>
    </r>
    <r>
      <rPr>
        <sz val="12"/>
        <rFont val="細明體"/>
        <family val="3"/>
      </rPr>
      <t>月</t>
    </r>
  </si>
  <si>
    <r>
      <t xml:space="preserve">            9</t>
    </r>
    <r>
      <rPr>
        <sz val="12"/>
        <rFont val="細明體"/>
        <family val="3"/>
      </rPr>
      <t>月</t>
    </r>
  </si>
  <si>
    <r>
      <t xml:space="preserve">            10</t>
    </r>
    <r>
      <rPr>
        <sz val="12"/>
        <rFont val="細明體"/>
        <family val="3"/>
      </rPr>
      <t>月</t>
    </r>
  </si>
  <si>
    <r>
      <t xml:space="preserve">            11</t>
    </r>
    <r>
      <rPr>
        <sz val="12"/>
        <rFont val="細明體"/>
        <family val="3"/>
      </rPr>
      <t>月</t>
    </r>
  </si>
  <si>
    <r>
      <t xml:space="preserve">            12</t>
    </r>
    <r>
      <rPr>
        <sz val="12"/>
        <rFont val="細明體"/>
        <family val="3"/>
      </rPr>
      <t>月</t>
    </r>
  </si>
  <si>
    <t>91年</t>
  </si>
  <si>
    <r>
      <t xml:space="preserve">           4</t>
    </r>
    <r>
      <rPr>
        <sz val="12"/>
        <rFont val="新細明體"/>
        <family val="1"/>
      </rPr>
      <t>月</t>
    </r>
  </si>
  <si>
    <r>
      <t xml:space="preserve">           5</t>
    </r>
    <r>
      <rPr>
        <sz val="12"/>
        <rFont val="新細明體"/>
        <family val="1"/>
      </rPr>
      <t>月</t>
    </r>
  </si>
  <si>
    <r>
      <t xml:space="preserve">           6</t>
    </r>
    <r>
      <rPr>
        <sz val="12"/>
        <rFont val="新細明體"/>
        <family val="1"/>
      </rPr>
      <t>月</t>
    </r>
  </si>
  <si>
    <r>
      <t xml:space="preserve">          7</t>
    </r>
    <r>
      <rPr>
        <sz val="12"/>
        <rFont val="新細明體"/>
        <family val="1"/>
      </rPr>
      <t>月</t>
    </r>
  </si>
  <si>
    <r>
      <t xml:space="preserve">          8</t>
    </r>
    <r>
      <rPr>
        <sz val="12"/>
        <rFont val="新細明體"/>
        <family val="1"/>
      </rPr>
      <t>月</t>
    </r>
  </si>
  <si>
    <r>
      <t xml:space="preserve">          9</t>
    </r>
    <r>
      <rPr>
        <sz val="12"/>
        <rFont val="新細明體"/>
        <family val="1"/>
      </rPr>
      <t>月</t>
    </r>
  </si>
  <si>
    <r>
      <t xml:space="preserve">          10</t>
    </r>
    <r>
      <rPr>
        <sz val="12"/>
        <rFont val="新細明體"/>
        <family val="1"/>
      </rPr>
      <t>月</t>
    </r>
  </si>
  <si>
    <r>
      <t xml:space="preserve">          11</t>
    </r>
    <r>
      <rPr>
        <sz val="12"/>
        <rFont val="新細明體"/>
        <family val="1"/>
      </rPr>
      <t>月</t>
    </r>
  </si>
  <si>
    <r>
      <t xml:space="preserve">          12</t>
    </r>
    <r>
      <rPr>
        <sz val="12"/>
        <rFont val="新細明體"/>
        <family val="1"/>
      </rPr>
      <t>月</t>
    </r>
  </si>
  <si>
    <r>
      <t xml:space="preserve">           2</t>
    </r>
    <r>
      <rPr>
        <sz val="12"/>
        <rFont val="新細明體"/>
        <family val="1"/>
      </rPr>
      <t>月</t>
    </r>
  </si>
  <si>
    <r>
      <t xml:space="preserve">           3</t>
    </r>
    <r>
      <rPr>
        <sz val="12"/>
        <rFont val="新細明體"/>
        <family val="1"/>
      </rPr>
      <t>月</t>
    </r>
  </si>
  <si>
    <r>
      <t xml:space="preserve">          5</t>
    </r>
    <r>
      <rPr>
        <sz val="12"/>
        <rFont val="新細明體"/>
        <family val="1"/>
      </rPr>
      <t>月</t>
    </r>
  </si>
  <si>
    <r>
      <t xml:space="preserve">          6</t>
    </r>
    <r>
      <rPr>
        <sz val="12"/>
        <rFont val="新細明體"/>
        <family val="1"/>
      </rPr>
      <t>月</t>
    </r>
  </si>
  <si>
    <r>
      <t xml:space="preserve">         7</t>
    </r>
    <r>
      <rPr>
        <sz val="12"/>
        <rFont val="新細明體"/>
        <family val="1"/>
      </rPr>
      <t>月</t>
    </r>
  </si>
  <si>
    <r>
      <t xml:space="preserve">         8</t>
    </r>
    <r>
      <rPr>
        <sz val="12"/>
        <rFont val="新細明體"/>
        <family val="1"/>
      </rPr>
      <t>月</t>
    </r>
  </si>
  <si>
    <r>
      <t xml:space="preserve">         9</t>
    </r>
    <r>
      <rPr>
        <sz val="12"/>
        <rFont val="新細明體"/>
        <family val="1"/>
      </rPr>
      <t>月</t>
    </r>
  </si>
  <si>
    <r>
      <t xml:space="preserve">        10</t>
    </r>
    <r>
      <rPr>
        <sz val="12"/>
        <rFont val="新細明體"/>
        <family val="1"/>
      </rPr>
      <t>月</t>
    </r>
  </si>
  <si>
    <r>
      <t xml:space="preserve">        11</t>
    </r>
    <r>
      <rPr>
        <sz val="12"/>
        <rFont val="新細明體"/>
        <family val="1"/>
      </rPr>
      <t>月</t>
    </r>
  </si>
  <si>
    <r>
      <t xml:space="preserve">        12</t>
    </r>
    <r>
      <rPr>
        <sz val="12"/>
        <rFont val="新細明體"/>
        <family val="1"/>
      </rPr>
      <t>月</t>
    </r>
  </si>
  <si>
    <t>92年</t>
  </si>
  <si>
    <t>93年</t>
  </si>
  <si>
    <r>
      <t xml:space="preserve">           7</t>
    </r>
    <r>
      <rPr>
        <sz val="12"/>
        <rFont val="新細明體"/>
        <family val="1"/>
      </rPr>
      <t>月</t>
    </r>
  </si>
  <si>
    <r>
      <t xml:space="preserve">          1</t>
    </r>
    <r>
      <rPr>
        <sz val="12"/>
        <rFont val="新細明體"/>
        <family val="1"/>
      </rPr>
      <t>月</t>
    </r>
  </si>
  <si>
    <t>94年</t>
  </si>
  <si>
    <r>
      <t>2</t>
    </r>
    <r>
      <rPr>
        <sz val="12"/>
        <rFont val="細明體"/>
        <family val="3"/>
      </rPr>
      <t>月</t>
    </r>
  </si>
  <si>
    <r>
      <t>3</t>
    </r>
    <r>
      <rPr>
        <sz val="12"/>
        <rFont val="細明體"/>
        <family val="3"/>
      </rPr>
      <t>月</t>
    </r>
  </si>
  <si>
    <r>
      <t>4</t>
    </r>
    <r>
      <rPr>
        <sz val="12"/>
        <rFont val="細明體"/>
        <family val="3"/>
      </rPr>
      <t>月</t>
    </r>
  </si>
  <si>
    <t>-</t>
  </si>
  <si>
    <r>
      <t>5</t>
    </r>
    <r>
      <rPr>
        <sz val="12"/>
        <rFont val="細明體"/>
        <family val="3"/>
      </rPr>
      <t>月</t>
    </r>
  </si>
  <si>
    <r>
      <t>6月</t>
    </r>
  </si>
  <si>
    <r>
      <t>7月</t>
    </r>
  </si>
  <si>
    <r>
      <t>8月</t>
    </r>
  </si>
  <si>
    <r>
      <t>9月</t>
    </r>
  </si>
  <si>
    <r>
      <t>10</t>
    </r>
    <r>
      <rPr>
        <sz val="12"/>
        <rFont val="細明體"/>
        <family val="3"/>
      </rPr>
      <t>月</t>
    </r>
  </si>
  <si>
    <r>
      <t>11月</t>
    </r>
  </si>
  <si>
    <r>
      <t>12月</t>
    </r>
  </si>
  <si>
    <t>95年</t>
  </si>
  <si>
    <r>
      <t xml:space="preserve">          2月</t>
    </r>
  </si>
  <si>
    <r>
      <t xml:space="preserve">          3月</t>
    </r>
  </si>
  <si>
    <r>
      <t xml:space="preserve">          4月</t>
    </r>
  </si>
  <si>
    <r>
      <t xml:space="preserve">          5月</t>
    </r>
  </si>
  <si>
    <r>
      <t xml:space="preserve">          6月</t>
    </r>
  </si>
  <si>
    <r>
      <t xml:space="preserve">          7月</t>
    </r>
  </si>
  <si>
    <r>
      <t xml:space="preserve">          8月</t>
    </r>
  </si>
  <si>
    <r>
      <t xml:space="preserve">          9月</t>
    </r>
  </si>
  <si>
    <r>
      <t xml:space="preserve">          10月</t>
    </r>
  </si>
  <si>
    <r>
      <t xml:space="preserve">          11月</t>
    </r>
  </si>
  <si>
    <r>
      <t xml:space="preserve">          12月</t>
    </r>
  </si>
  <si>
    <r>
      <t xml:space="preserve">          1</t>
    </r>
    <r>
      <rPr>
        <sz val="12"/>
        <rFont val="細明體"/>
        <family val="3"/>
      </rPr>
      <t>月</t>
    </r>
  </si>
  <si>
    <t>96年</t>
  </si>
  <si>
    <t>97年</t>
  </si>
  <si>
    <r>
      <t>98</t>
    </r>
    <r>
      <rPr>
        <b/>
        <sz val="12"/>
        <rFont val="細明體"/>
        <family val="3"/>
      </rPr>
      <t>年</t>
    </r>
  </si>
  <si>
    <r>
      <t>1</t>
    </r>
    <r>
      <rPr>
        <sz val="12"/>
        <rFont val="細明體"/>
        <family val="3"/>
      </rPr>
      <t>月</t>
    </r>
  </si>
  <si>
    <r>
      <t>2</t>
    </r>
    <r>
      <rPr>
        <sz val="12"/>
        <rFont val="細明體"/>
        <family val="3"/>
      </rPr>
      <t>月</t>
    </r>
  </si>
  <si>
    <r>
      <t>3</t>
    </r>
    <r>
      <rPr>
        <sz val="12"/>
        <rFont val="細明體"/>
        <family val="3"/>
      </rPr>
      <t>月</t>
    </r>
  </si>
  <si>
    <r>
      <t>4月</t>
    </r>
  </si>
  <si>
    <r>
      <t>10月</t>
    </r>
  </si>
  <si>
    <r>
      <t>99</t>
    </r>
    <r>
      <rPr>
        <b/>
        <sz val="12"/>
        <rFont val="細明體"/>
        <family val="3"/>
      </rPr>
      <t>年</t>
    </r>
  </si>
  <si>
    <r>
      <t>2月</t>
    </r>
  </si>
  <si>
    <r>
      <t>3月</t>
    </r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</si>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</sst>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0.0000000"/>
    <numFmt numFmtId="182" formatCode="_-* #,##0.0_-;\-* #,##0.0_-;_-* &quot;-&quot;??_-;_-@_-"/>
    <numFmt numFmtId="183" formatCode="_-* #,##0_-;\-* #,##0_-;_-* &quot;-&quot;??_-;_-@_-"/>
    <numFmt numFmtId="184" formatCode="0.0"/>
    <numFmt numFmtId="185" formatCode="_-* #,##0.000_-;\-* #,##0.000_-;_-* &quot;-&quot;??_-;_-@_-"/>
    <numFmt numFmtId="186" formatCode="_-* #,##0.0000_-;\-* #,##0.0000_-;_-* &quot;-&quot;??_-;_-@_-"/>
    <numFmt numFmtId="187" formatCode="0.00_);[Red]\(0.00\)"/>
    <numFmt numFmtId="188" formatCode="0.00_ "/>
    <numFmt numFmtId="189" formatCode="#,##0_ "/>
    <numFmt numFmtId="190" formatCode="#,##0.0000_ "/>
    <numFmt numFmtId="191" formatCode="_-* #,##0.0000_-;\-* #,##0.0000_-;_-* &quot;-&quot;????_-;_-@_-"/>
    <numFmt numFmtId="192" formatCode="#,##0.00_ "/>
    <numFmt numFmtId="193" formatCode="#,##0.00_);[Red]\(#,##0.00\)"/>
    <numFmt numFmtId="194" formatCode="#,##0.0_);[Red]\(#,##0.0\)"/>
    <numFmt numFmtId="195" formatCode="#,##0_);[Red]\(#,##0\)"/>
    <numFmt numFmtId="196" formatCode="0.0_ "/>
    <numFmt numFmtId="197" formatCode="0_ "/>
    <numFmt numFmtId="198" formatCode="#,##0.0_ "/>
    <numFmt numFmtId="199" formatCode="0_ ;[Red]\-0\ "/>
    <numFmt numFmtId="200" formatCode="#,##0.0"/>
    <numFmt numFmtId="201" formatCode="#,##0.00;\-#,##0.00;\-"/>
    <numFmt numFmtId="202" formatCode="#,##0.00;\-#,##0.00;\ \ \-"/>
    <numFmt numFmtId="203" formatCode="#,##0.000"/>
    <numFmt numFmtId="204" formatCode="#,##0.0000"/>
    <numFmt numFmtId="205" formatCode="_-* #,##0.0_-;\-* #,##0.0_-;_-* &quot;-&quot;_-;_-@_-"/>
    <numFmt numFmtId="206" formatCode="_-* #,##0.00_-;\-* #,##0.00_-;_-* &quot;-&quot;_-;_-@_-"/>
    <numFmt numFmtId="207" formatCode="0.000_);[Red]\(0.000\)"/>
    <numFmt numFmtId="208" formatCode="#,##0.000_ "/>
    <numFmt numFmtId="209" formatCode="_-* #,##0.000_-;\-* #,##0.000_-;_-* &quot;-&quot;???_-;_-@_-"/>
    <numFmt numFmtId="210" formatCode="m&quot;月&quot;d&quot;日&quot;"/>
    <numFmt numFmtId="211" formatCode="0.000_ "/>
  </numFmts>
  <fonts count="1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20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right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6" xfId="0" applyBorder="1" applyAlignment="1">
      <alignment horizontal="right"/>
    </xf>
    <xf numFmtId="0" fontId="0" fillId="0" borderId="3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3" xfId="0" applyNumberFormat="1" applyBorder="1" applyAlignment="1">
      <alignment/>
    </xf>
    <xf numFmtId="183" fontId="0" fillId="0" borderId="4" xfId="15" applyNumberForma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6" xfId="0" applyNumberFormat="1" applyFont="1" applyBorder="1" applyAlignment="1">
      <alignment/>
    </xf>
    <xf numFmtId="183" fontId="1" fillId="0" borderId="11" xfId="15" applyNumberFormat="1" applyFont="1" applyBorder="1" applyAlignment="1">
      <alignment/>
    </xf>
    <xf numFmtId="183" fontId="1" fillId="0" borderId="4" xfId="15" applyNumberFormat="1" applyFont="1" applyBorder="1" applyAlignment="1">
      <alignment/>
    </xf>
    <xf numFmtId="0" fontId="1" fillId="0" borderId="10" xfId="0" applyFont="1" applyBorder="1" applyAlignment="1">
      <alignment/>
    </xf>
    <xf numFmtId="41" fontId="8" fillId="0" borderId="3" xfId="0" applyNumberFormat="1" applyFont="1" applyBorder="1" applyAlignment="1">
      <alignment horizontal="right"/>
    </xf>
    <xf numFmtId="0" fontId="8" fillId="0" borderId="4" xfId="0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8" fillId="0" borderId="5" xfId="0" applyFont="1" applyBorder="1" applyAlignment="1">
      <alignment horizontal="left"/>
    </xf>
    <xf numFmtId="0" fontId="8" fillId="0" borderId="0" xfId="0" applyFont="1" applyBorder="1" applyAlignment="1">
      <alignment/>
    </xf>
    <xf numFmtId="188" fontId="0" fillId="0" borderId="0" xfId="0" applyNumberFormat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2" fontId="1" fillId="0" borderId="3" xfId="0" applyNumberFormat="1" applyFont="1" applyFill="1" applyBorder="1" applyAlignment="1">
      <alignment/>
    </xf>
    <xf numFmtId="41" fontId="1" fillId="0" borderId="4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5" xfId="0" applyFont="1" applyBorder="1" applyAlignment="1">
      <alignment horizontal="right"/>
    </xf>
    <xf numFmtId="41" fontId="8" fillId="0" borderId="6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2" fontId="12" fillId="0" borderId="3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2" fillId="0" borderId="3" xfId="0" applyNumberFormat="1" applyFont="1" applyBorder="1" applyAlignment="1">
      <alignment horizontal="right"/>
    </xf>
    <xf numFmtId="2" fontId="0" fillId="0" borderId="3" xfId="0" applyNumberFormat="1" applyFont="1" applyBorder="1" applyAlignment="1">
      <alignment/>
    </xf>
    <xf numFmtId="43" fontId="8" fillId="0" borderId="6" xfId="0" applyNumberFormat="1" applyFont="1" applyBorder="1" applyAlignment="1">
      <alignment horizontal="right"/>
    </xf>
    <xf numFmtId="41" fontId="12" fillId="0" borderId="4" xfId="0" applyNumberFormat="1" applyFont="1" applyBorder="1" applyAlignment="1">
      <alignment horizontal="right"/>
    </xf>
    <xf numFmtId="2" fontId="8" fillId="0" borderId="5" xfId="0" applyNumberFormat="1" applyFont="1" applyBorder="1" applyAlignment="1">
      <alignment horizontal="right"/>
    </xf>
    <xf numFmtId="41" fontId="8" fillId="0" borderId="5" xfId="0" applyNumberFormat="1" applyFont="1" applyBorder="1" applyAlignment="1">
      <alignment horizontal="right"/>
    </xf>
    <xf numFmtId="41" fontId="12" fillId="0" borderId="5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2" fontId="8" fillId="0" borderId="4" xfId="0" applyNumberFormat="1" applyFont="1" applyBorder="1" applyAlignment="1">
      <alignment horizontal="right"/>
    </xf>
    <xf numFmtId="41" fontId="8" fillId="0" borderId="4" xfId="0" applyNumberFormat="1" applyFont="1" applyBorder="1" applyAlignment="1">
      <alignment horizontal="right"/>
    </xf>
    <xf numFmtId="188" fontId="8" fillId="0" borderId="12" xfId="0" applyNumberFormat="1" applyFont="1" applyBorder="1" applyAlignment="1">
      <alignment horizontal="right"/>
    </xf>
    <xf numFmtId="188" fontId="8" fillId="0" borderId="13" xfId="0" applyNumberFormat="1" applyFont="1" applyBorder="1" applyAlignment="1">
      <alignment horizontal="right"/>
    </xf>
    <xf numFmtId="211" fontId="0" fillId="0" borderId="0" xfId="0" applyNumberFormat="1" applyAlignment="1">
      <alignment/>
    </xf>
    <xf numFmtId="192" fontId="0" fillId="0" borderId="13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9"/>
  <sheetViews>
    <sheetView tabSelected="1" workbookViewId="0" topLeftCell="A1">
      <pane ySplit="6" topLeftCell="BM122" activePane="bottomLeft" state="frozen"/>
      <selection pane="topLeft" activeCell="B77" sqref="B77:B78"/>
      <selection pane="bottomLeft" activeCell="N184" sqref="N184"/>
    </sheetView>
  </sheetViews>
  <sheetFormatPr defaultColWidth="9.00390625" defaultRowHeight="16.5"/>
  <cols>
    <col min="1" max="1" width="12.25390625" style="0" customWidth="1"/>
    <col min="2" max="2" width="7.00390625" style="0" customWidth="1"/>
    <col min="3" max="3" width="10.125" style="0" customWidth="1"/>
    <col min="4" max="4" width="10.00390625" style="0" customWidth="1"/>
    <col min="5" max="5" width="8.375" style="0" customWidth="1"/>
    <col min="6" max="6" width="9.875" style="0" bestFit="1" customWidth="1"/>
    <col min="8" max="8" width="13.25390625" style="0" customWidth="1"/>
    <col min="9" max="10" width="6.375" style="0" hidden="1" customWidth="1"/>
  </cols>
  <sheetData>
    <row r="1" ht="27.75">
      <c r="A1" s="4" t="s">
        <v>0</v>
      </c>
    </row>
    <row r="2" spans="1:10" ht="26.25" thickBot="1">
      <c r="A2" s="5" t="s">
        <v>12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>
      <c r="A3" s="72" t="s">
        <v>43</v>
      </c>
      <c r="B3" s="75" t="s">
        <v>44</v>
      </c>
      <c r="C3" s="76"/>
      <c r="D3" s="76"/>
      <c r="E3" s="76"/>
      <c r="F3" s="76"/>
      <c r="G3" s="76"/>
      <c r="H3" s="76"/>
      <c r="I3" s="12" t="s">
        <v>13</v>
      </c>
      <c r="J3" s="12"/>
    </row>
    <row r="4" spans="1:10" ht="16.5">
      <c r="A4" s="73"/>
      <c r="B4" s="77"/>
      <c r="C4" s="78"/>
      <c r="D4" s="78"/>
      <c r="E4" s="78"/>
      <c r="F4" s="78"/>
      <c r="G4" s="78"/>
      <c r="H4" s="78"/>
      <c r="I4" s="15" t="s">
        <v>14</v>
      </c>
      <c r="J4" s="15"/>
    </row>
    <row r="5" spans="1:10" ht="16.5">
      <c r="A5" s="73"/>
      <c r="B5" s="79" t="s">
        <v>50</v>
      </c>
      <c r="C5" s="79" t="s">
        <v>46</v>
      </c>
      <c r="D5" s="79" t="s">
        <v>47</v>
      </c>
      <c r="E5" s="79" t="s">
        <v>48</v>
      </c>
      <c r="F5" s="17" t="s">
        <v>15</v>
      </c>
      <c r="G5" s="17"/>
      <c r="H5" s="81" t="s">
        <v>49</v>
      </c>
      <c r="I5" s="8" t="s">
        <v>16</v>
      </c>
      <c r="J5" s="7" t="s">
        <v>16</v>
      </c>
    </row>
    <row r="6" spans="1:10" ht="17.25" thickBot="1">
      <c r="A6" s="74"/>
      <c r="B6" s="80"/>
      <c r="C6" s="80"/>
      <c r="D6" s="80"/>
      <c r="E6" s="80"/>
      <c r="F6" s="3" t="s">
        <v>17</v>
      </c>
      <c r="G6" s="3" t="s">
        <v>18</v>
      </c>
      <c r="H6" s="82"/>
      <c r="I6" s="2" t="s">
        <v>19</v>
      </c>
      <c r="J6" s="13" t="s">
        <v>20</v>
      </c>
    </row>
    <row r="7" spans="1:10" ht="21" customHeight="1" hidden="1">
      <c r="A7" s="24" t="s">
        <v>1</v>
      </c>
      <c r="B7" s="25">
        <v>270</v>
      </c>
      <c r="C7" s="30">
        <f>B7/365</f>
        <v>0.7397260273972602</v>
      </c>
      <c r="D7" s="30">
        <f>B7/186093*1000</f>
        <v>1.4508874594960586</v>
      </c>
      <c r="E7" s="25">
        <v>133</v>
      </c>
      <c r="F7" s="25">
        <v>14</v>
      </c>
      <c r="G7" s="25">
        <v>11</v>
      </c>
      <c r="H7" s="31">
        <v>117883</v>
      </c>
      <c r="I7" s="33">
        <v>74</v>
      </c>
      <c r="J7" s="26">
        <v>139</v>
      </c>
    </row>
    <row r="8" spans="1:12" s="11" customFormat="1" ht="21" customHeight="1" hidden="1">
      <c r="A8" s="27" t="s">
        <v>2</v>
      </c>
      <c r="B8" s="28">
        <v>295</v>
      </c>
      <c r="C8" s="36">
        <f aca="true" t="shared" si="0" ref="C8:C16">B8/365</f>
        <v>0.8082191780821918</v>
      </c>
      <c r="D8" s="36">
        <v>1.5451983615659406</v>
      </c>
      <c r="E8" s="28">
        <v>119</v>
      </c>
      <c r="F8" s="28">
        <v>34</v>
      </c>
      <c r="G8" s="28">
        <v>32</v>
      </c>
      <c r="H8" s="32">
        <v>166954</v>
      </c>
      <c r="I8" s="37">
        <v>80</v>
      </c>
      <c r="J8" s="29">
        <v>132</v>
      </c>
      <c r="L8" s="40"/>
    </row>
    <row r="9" spans="1:12" s="11" customFormat="1" ht="21" customHeight="1" hidden="1">
      <c r="A9" s="27" t="s">
        <v>3</v>
      </c>
      <c r="B9" s="28">
        <v>329</v>
      </c>
      <c r="C9" s="36">
        <f t="shared" si="0"/>
        <v>0.9013698630136986</v>
      </c>
      <c r="D9" s="36">
        <v>1.6564502120910796</v>
      </c>
      <c r="E9" s="28">
        <v>215</v>
      </c>
      <c r="F9" s="28">
        <v>11</v>
      </c>
      <c r="G9" s="28">
        <v>30</v>
      </c>
      <c r="H9" s="32">
        <v>217328</v>
      </c>
      <c r="I9" s="37">
        <v>83</v>
      </c>
      <c r="J9" s="29">
        <v>145</v>
      </c>
      <c r="L9" s="40"/>
    </row>
    <row r="10" spans="1:12" s="11" customFormat="1" ht="21" customHeight="1" hidden="1">
      <c r="A10" s="27" t="s">
        <v>4</v>
      </c>
      <c r="B10" s="28">
        <v>306</v>
      </c>
      <c r="C10" s="36">
        <f t="shared" si="0"/>
        <v>0.8383561643835616</v>
      </c>
      <c r="D10" s="36">
        <v>1.4958607187464101</v>
      </c>
      <c r="E10" s="28">
        <v>164</v>
      </c>
      <c r="F10" s="28">
        <v>20</v>
      </c>
      <c r="G10" s="28">
        <v>40</v>
      </c>
      <c r="H10" s="32">
        <v>55176</v>
      </c>
      <c r="I10" s="37">
        <v>88</v>
      </c>
      <c r="J10" s="29">
        <v>144</v>
      </c>
      <c r="L10" s="40"/>
    </row>
    <row r="11" spans="1:12" s="11" customFormat="1" ht="21" customHeight="1" hidden="1">
      <c r="A11" s="27" t="s">
        <v>5</v>
      </c>
      <c r="B11" s="28">
        <v>220</v>
      </c>
      <c r="C11" s="36">
        <f t="shared" si="0"/>
        <v>0.6027397260273972</v>
      </c>
      <c r="D11" s="36">
        <v>1.0415655677360862</v>
      </c>
      <c r="E11" s="28">
        <v>148</v>
      </c>
      <c r="F11" s="28">
        <v>11</v>
      </c>
      <c r="G11" s="28">
        <v>19</v>
      </c>
      <c r="H11" s="32">
        <v>50433</v>
      </c>
      <c r="I11" s="37">
        <v>63</v>
      </c>
      <c r="J11" s="29">
        <v>179</v>
      </c>
      <c r="L11" s="40"/>
    </row>
    <row r="12" spans="1:12" s="11" customFormat="1" ht="21" customHeight="1" hidden="1">
      <c r="A12" s="27" t="s">
        <v>6</v>
      </c>
      <c r="B12" s="28">
        <v>249</v>
      </c>
      <c r="C12" s="36">
        <f t="shared" si="0"/>
        <v>0.6821917808219178</v>
      </c>
      <c r="D12" s="36">
        <v>1.1294924541739055</v>
      </c>
      <c r="E12" s="28">
        <v>142</v>
      </c>
      <c r="F12" s="28">
        <v>22</v>
      </c>
      <c r="G12" s="28">
        <v>38</v>
      </c>
      <c r="H12" s="32">
        <v>116725</v>
      </c>
      <c r="I12" s="37">
        <v>63</v>
      </c>
      <c r="J12" s="29">
        <v>233</v>
      </c>
      <c r="L12" s="40"/>
    </row>
    <row r="13" spans="1:12" s="11" customFormat="1" ht="21" customHeight="1" hidden="1">
      <c r="A13" s="27" t="s">
        <v>7</v>
      </c>
      <c r="B13" s="28">
        <v>221</v>
      </c>
      <c r="C13" s="36">
        <f t="shared" si="0"/>
        <v>0.6054794520547945</v>
      </c>
      <c r="D13" s="36">
        <v>0.953819594302978</v>
      </c>
      <c r="E13" s="28">
        <v>203</v>
      </c>
      <c r="F13" s="28">
        <v>20</v>
      </c>
      <c r="G13" s="28">
        <v>29</v>
      </c>
      <c r="H13" s="32">
        <v>85255</v>
      </c>
      <c r="I13" s="37">
        <v>74</v>
      </c>
      <c r="J13" s="29">
        <v>194</v>
      </c>
      <c r="L13" s="40"/>
    </row>
    <row r="14" spans="1:12" s="11" customFormat="1" ht="21" customHeight="1" hidden="1">
      <c r="A14" s="27" t="s">
        <v>8</v>
      </c>
      <c r="B14" s="28">
        <v>270</v>
      </c>
      <c r="C14" s="36">
        <f t="shared" si="0"/>
        <v>0.7397260273972602</v>
      </c>
      <c r="D14" s="36">
        <v>1.1101060768028945</v>
      </c>
      <c r="E14" s="28">
        <v>179</v>
      </c>
      <c r="F14" s="28">
        <v>78</v>
      </c>
      <c r="G14" s="28">
        <v>66</v>
      </c>
      <c r="H14" s="32">
        <v>89163</v>
      </c>
      <c r="I14" s="37">
        <v>64</v>
      </c>
      <c r="J14" s="29">
        <v>237</v>
      </c>
      <c r="L14" s="40"/>
    </row>
    <row r="15" spans="1:12" s="11" customFormat="1" ht="21" customHeight="1" hidden="1">
      <c r="A15" s="27" t="s">
        <v>9</v>
      </c>
      <c r="B15" s="28">
        <v>343</v>
      </c>
      <c r="C15" s="36">
        <f t="shared" si="0"/>
        <v>0.9397260273972603</v>
      </c>
      <c r="D15" s="36">
        <v>1.3378735221958287</v>
      </c>
      <c r="E15" s="28">
        <v>105</v>
      </c>
      <c r="F15" s="28">
        <v>33</v>
      </c>
      <c r="G15" s="28">
        <v>58</v>
      </c>
      <c r="H15" s="32">
        <v>67327</v>
      </c>
      <c r="I15" s="37">
        <v>68</v>
      </c>
      <c r="J15" s="29">
        <v>237</v>
      </c>
      <c r="L15" s="40"/>
    </row>
    <row r="16" spans="1:12" s="11" customFormat="1" ht="21" customHeight="1" hidden="1">
      <c r="A16" s="27" t="s">
        <v>10</v>
      </c>
      <c r="B16" s="28">
        <v>320</v>
      </c>
      <c r="C16" s="36">
        <f t="shared" si="0"/>
        <v>0.8767123287671232</v>
      </c>
      <c r="D16" s="36">
        <v>1.185060095508437</v>
      </c>
      <c r="E16" s="28">
        <v>68</v>
      </c>
      <c r="F16" s="28">
        <v>3</v>
      </c>
      <c r="G16" s="28">
        <v>45</v>
      </c>
      <c r="H16" s="32">
        <v>58513</v>
      </c>
      <c r="I16" s="37">
        <v>63</v>
      </c>
      <c r="J16" s="29">
        <v>228</v>
      </c>
      <c r="L16" s="40"/>
    </row>
    <row r="17" spans="1:10" s="11" customFormat="1" ht="15" customHeight="1" hidden="1">
      <c r="A17" s="22" t="s">
        <v>24</v>
      </c>
      <c r="B17" s="6">
        <v>26</v>
      </c>
      <c r="C17" s="20">
        <f aca="true" t="shared" si="1" ref="C17:C25">B17/31</f>
        <v>0.8387096774193549</v>
      </c>
      <c r="D17" s="36">
        <f>B17/186093*1000</f>
        <v>0.13971508869221302</v>
      </c>
      <c r="E17" s="6">
        <v>2</v>
      </c>
      <c r="F17" s="28" t="s">
        <v>11</v>
      </c>
      <c r="G17" s="9" t="s">
        <v>11</v>
      </c>
      <c r="H17" s="21">
        <v>5138</v>
      </c>
      <c r="I17" s="8">
        <v>63</v>
      </c>
      <c r="J17" s="7">
        <v>230</v>
      </c>
    </row>
    <row r="18" spans="1:10" s="11" customFormat="1" ht="15" customHeight="1" hidden="1">
      <c r="A18" s="22" t="s">
        <v>25</v>
      </c>
      <c r="B18" s="6">
        <v>34</v>
      </c>
      <c r="C18" s="20">
        <f>B18/30</f>
        <v>1.1333333333333333</v>
      </c>
      <c r="D18" s="36">
        <f>B18/186093*1000</f>
        <v>0.1827043467513555</v>
      </c>
      <c r="E18" s="6">
        <v>7</v>
      </c>
      <c r="F18" s="28">
        <v>1</v>
      </c>
      <c r="G18" s="9">
        <v>3</v>
      </c>
      <c r="H18" s="21">
        <v>5137</v>
      </c>
      <c r="I18" s="8">
        <v>63</v>
      </c>
      <c r="J18" s="7">
        <v>230</v>
      </c>
    </row>
    <row r="19" spans="1:10" s="11" customFormat="1" ht="15" customHeight="1" hidden="1">
      <c r="A19" s="22" t="s">
        <v>26</v>
      </c>
      <c r="B19" s="6">
        <v>18</v>
      </c>
      <c r="C19" s="20">
        <f t="shared" si="1"/>
        <v>0.5806451612903226</v>
      </c>
      <c r="D19" s="36">
        <f>B19/186093*1000</f>
        <v>0.09672583063307057</v>
      </c>
      <c r="E19" s="9" t="s">
        <v>11</v>
      </c>
      <c r="F19" s="28" t="s">
        <v>11</v>
      </c>
      <c r="G19" s="9" t="s">
        <v>11</v>
      </c>
      <c r="H19" s="21">
        <v>969</v>
      </c>
      <c r="I19" s="8">
        <v>63</v>
      </c>
      <c r="J19" s="7">
        <v>228</v>
      </c>
    </row>
    <row r="20" spans="1:11" s="48" customFormat="1" ht="17.25" customHeight="1" hidden="1">
      <c r="A20" s="41" t="s">
        <v>28</v>
      </c>
      <c r="B20" s="42">
        <v>314</v>
      </c>
      <c r="C20" s="43">
        <f>314/365</f>
        <v>0.8602739726027397</v>
      </c>
      <c r="D20" s="43">
        <f>314/280946*1000</f>
        <v>1.1176525026161612</v>
      </c>
      <c r="E20" s="28">
        <v>43</v>
      </c>
      <c r="F20" s="28">
        <v>26</v>
      </c>
      <c r="G20" s="28">
        <v>31</v>
      </c>
      <c r="H20" s="44">
        <v>244921</v>
      </c>
      <c r="I20" s="45"/>
      <c r="J20" s="46"/>
      <c r="K20" s="47"/>
    </row>
    <row r="21" spans="1:12" s="11" customFormat="1" ht="21" customHeight="1" hidden="1">
      <c r="A21" s="38" t="s">
        <v>36</v>
      </c>
      <c r="B21" s="6">
        <v>20</v>
      </c>
      <c r="C21" s="20">
        <f t="shared" si="1"/>
        <v>0.6451612903225806</v>
      </c>
      <c r="D21" s="36">
        <v>0.07228501983320232</v>
      </c>
      <c r="E21" s="28">
        <v>0</v>
      </c>
      <c r="F21" s="28">
        <v>1</v>
      </c>
      <c r="G21" s="28">
        <v>0</v>
      </c>
      <c r="H21" s="21">
        <v>1180</v>
      </c>
      <c r="I21" s="23">
        <v>63</v>
      </c>
      <c r="J21" s="35">
        <v>229</v>
      </c>
      <c r="K21" s="39"/>
      <c r="L21" s="40"/>
    </row>
    <row r="22" spans="1:12" s="11" customFormat="1" ht="21" customHeight="1" hidden="1">
      <c r="A22" s="22" t="s">
        <v>23</v>
      </c>
      <c r="B22" s="6">
        <v>22</v>
      </c>
      <c r="C22" s="20">
        <f>B22/28</f>
        <v>0.7857142857142857</v>
      </c>
      <c r="D22" s="36">
        <v>0.07924543933491464</v>
      </c>
      <c r="E22" s="28">
        <v>2</v>
      </c>
      <c r="F22" s="28">
        <v>4</v>
      </c>
      <c r="G22" s="28">
        <v>0</v>
      </c>
      <c r="H22" s="21">
        <v>5370</v>
      </c>
      <c r="I22" s="23">
        <v>63</v>
      </c>
      <c r="J22" s="35">
        <v>229</v>
      </c>
      <c r="K22" s="39"/>
      <c r="L22" s="40"/>
    </row>
    <row r="23" spans="1:12" s="11" customFormat="1" ht="21" customHeight="1" hidden="1">
      <c r="A23" s="22" t="s">
        <v>21</v>
      </c>
      <c r="B23" s="6">
        <v>22</v>
      </c>
      <c r="C23" s="20">
        <f t="shared" si="1"/>
        <v>0.7096774193548387</v>
      </c>
      <c r="D23" s="36">
        <v>0.07894444105541541</v>
      </c>
      <c r="E23" s="28">
        <v>4</v>
      </c>
      <c r="F23" s="28">
        <v>3</v>
      </c>
      <c r="G23" s="28">
        <v>11</v>
      </c>
      <c r="H23" s="21">
        <v>14761</v>
      </c>
      <c r="I23" s="23">
        <v>63</v>
      </c>
      <c r="J23" s="35">
        <v>229</v>
      </c>
      <c r="K23" s="39"/>
      <c r="L23" s="40"/>
    </row>
    <row r="24" spans="1:12" s="11" customFormat="1" ht="21" customHeight="1" hidden="1">
      <c r="A24" s="22" t="s">
        <v>22</v>
      </c>
      <c r="B24" s="6">
        <v>27</v>
      </c>
      <c r="C24" s="20">
        <f>B24/30</f>
        <v>0.9</v>
      </c>
      <c r="D24" s="36">
        <v>0.09660643076807479</v>
      </c>
      <c r="E24" s="28">
        <v>3</v>
      </c>
      <c r="F24" s="28">
        <v>12</v>
      </c>
      <c r="G24" s="28">
        <v>2</v>
      </c>
      <c r="H24" s="21">
        <v>11974</v>
      </c>
      <c r="I24" s="23">
        <v>63</v>
      </c>
      <c r="J24" s="35">
        <v>229</v>
      </c>
      <c r="K24" s="39"/>
      <c r="L24" s="40"/>
    </row>
    <row r="25" spans="1:12" s="11" customFormat="1" ht="21" customHeight="1" hidden="1">
      <c r="A25" s="22" t="s">
        <v>29</v>
      </c>
      <c r="B25" s="6">
        <v>27</v>
      </c>
      <c r="C25" s="20">
        <f t="shared" si="1"/>
        <v>0.8709677419354839</v>
      </c>
      <c r="D25" s="36">
        <v>0.09632777129646476</v>
      </c>
      <c r="E25" s="28">
        <v>15</v>
      </c>
      <c r="F25" s="28">
        <v>1</v>
      </c>
      <c r="G25" s="28">
        <v>2</v>
      </c>
      <c r="H25" s="21">
        <v>6174</v>
      </c>
      <c r="I25" s="23">
        <v>63</v>
      </c>
      <c r="J25" s="35">
        <v>229</v>
      </c>
      <c r="K25" s="39"/>
      <c r="L25" s="40"/>
    </row>
    <row r="26" spans="1:12" s="11" customFormat="1" ht="21" customHeight="1" hidden="1">
      <c r="A26" s="22" t="s">
        <v>31</v>
      </c>
      <c r="B26" s="6">
        <v>23</v>
      </c>
      <c r="C26" s="20">
        <f>B26/30</f>
        <v>0.7666666666666667</v>
      </c>
      <c r="D26" s="36">
        <v>0.08183844734674416</v>
      </c>
      <c r="E26" s="28">
        <v>2</v>
      </c>
      <c r="F26" s="28">
        <v>1</v>
      </c>
      <c r="G26" s="28">
        <v>8</v>
      </c>
      <c r="H26" s="21">
        <v>5962</v>
      </c>
      <c r="I26" s="23">
        <v>63</v>
      </c>
      <c r="J26" s="35">
        <v>229</v>
      </c>
      <c r="K26" s="39"/>
      <c r="L26" s="40"/>
    </row>
    <row r="27" spans="1:12" s="11" customFormat="1" ht="21" customHeight="1" hidden="1">
      <c r="A27" s="22" t="s">
        <v>32</v>
      </c>
      <c r="B27" s="6">
        <v>34</v>
      </c>
      <c r="C27" s="20">
        <f>B27/31</f>
        <v>1.096774193548387</v>
      </c>
      <c r="D27" s="36">
        <v>0.12068849235225422</v>
      </c>
      <c r="E27" s="28">
        <v>5</v>
      </c>
      <c r="F27" s="28">
        <v>0</v>
      </c>
      <c r="G27" s="28">
        <v>0</v>
      </c>
      <c r="H27" s="21">
        <v>8502</v>
      </c>
      <c r="I27" s="23">
        <v>63</v>
      </c>
      <c r="J27" s="35">
        <v>229</v>
      </c>
      <c r="K27" s="39"/>
      <c r="L27" s="40"/>
    </row>
    <row r="28" spans="1:12" s="11" customFormat="1" ht="21" customHeight="1" hidden="1">
      <c r="A28" s="22" t="s">
        <v>33</v>
      </c>
      <c r="B28" s="6">
        <v>25</v>
      </c>
      <c r="C28" s="20">
        <f>B28/31</f>
        <v>0.8064516129032258</v>
      </c>
      <c r="D28" s="36">
        <v>0.08851249442371285</v>
      </c>
      <c r="E28" s="28">
        <v>4</v>
      </c>
      <c r="F28" s="28">
        <v>1</v>
      </c>
      <c r="G28" s="28">
        <v>1</v>
      </c>
      <c r="H28" s="21">
        <v>7245</v>
      </c>
      <c r="I28" s="23">
        <v>63</v>
      </c>
      <c r="J28" s="35">
        <v>229</v>
      </c>
      <c r="K28" s="39"/>
      <c r="L28" s="40"/>
    </row>
    <row r="29" spans="1:12" s="11" customFormat="1" ht="21" customHeight="1" hidden="1">
      <c r="A29" s="22" t="s">
        <v>35</v>
      </c>
      <c r="B29" s="6">
        <v>32</v>
      </c>
      <c r="C29" s="20">
        <v>1.07</v>
      </c>
      <c r="D29" s="36">
        <v>0.11297221060138285</v>
      </c>
      <c r="E29" s="28">
        <v>4</v>
      </c>
      <c r="F29" s="28">
        <v>0</v>
      </c>
      <c r="G29" s="28">
        <v>6</v>
      </c>
      <c r="H29" s="21">
        <v>174215</v>
      </c>
      <c r="I29" s="23">
        <v>63</v>
      </c>
      <c r="J29" s="35">
        <v>229</v>
      </c>
      <c r="K29" s="39"/>
      <c r="L29" s="40"/>
    </row>
    <row r="30" spans="1:12" s="11" customFormat="1" ht="21" customHeight="1" hidden="1">
      <c r="A30" s="22" t="s">
        <v>37</v>
      </c>
      <c r="B30" s="6">
        <v>18</v>
      </c>
      <c r="C30" s="20">
        <v>0.58</v>
      </c>
      <c r="D30" s="36">
        <v>0.06338965621676446</v>
      </c>
      <c r="E30" s="28">
        <v>0</v>
      </c>
      <c r="F30" s="28">
        <v>0</v>
      </c>
      <c r="G30" s="28">
        <v>0</v>
      </c>
      <c r="H30" s="21">
        <v>1970</v>
      </c>
      <c r="I30" s="23">
        <v>63</v>
      </c>
      <c r="J30" s="35">
        <v>229</v>
      </c>
      <c r="K30" s="39"/>
      <c r="L30" s="40"/>
    </row>
    <row r="31" spans="1:12" s="11" customFormat="1" ht="21" customHeight="1" hidden="1">
      <c r="A31" s="27" t="s">
        <v>38</v>
      </c>
      <c r="B31" s="28">
        <v>314</v>
      </c>
      <c r="C31" s="36">
        <v>0.8602739726027397</v>
      </c>
      <c r="D31" s="36">
        <v>1.078426321845002</v>
      </c>
      <c r="E31" s="28">
        <v>66</v>
      </c>
      <c r="F31" s="28">
        <v>4</v>
      </c>
      <c r="G31" s="28">
        <v>23</v>
      </c>
      <c r="H31" s="32">
        <v>64967</v>
      </c>
      <c r="I31" s="23">
        <v>63</v>
      </c>
      <c r="J31" s="35">
        <v>229</v>
      </c>
      <c r="K31" s="39"/>
      <c r="L31" s="40"/>
    </row>
    <row r="32" spans="1:12" s="11" customFormat="1" ht="21" customHeight="1" hidden="1">
      <c r="A32" s="38" t="s">
        <v>36</v>
      </c>
      <c r="B32" s="6">
        <v>24</v>
      </c>
      <c r="C32" s="20">
        <f>B32/31</f>
        <v>0.7741935483870968</v>
      </c>
      <c r="D32" s="36">
        <f>B32/285822.5*1000</f>
        <v>0.08396819704536906</v>
      </c>
      <c r="E32" s="28">
        <v>4</v>
      </c>
      <c r="F32" s="28">
        <v>2</v>
      </c>
      <c r="G32" s="28">
        <v>3</v>
      </c>
      <c r="H32" s="21">
        <v>3311</v>
      </c>
      <c r="I32" s="23">
        <v>63</v>
      </c>
      <c r="J32" s="35">
        <v>229</v>
      </c>
      <c r="K32" s="39"/>
      <c r="L32" s="40"/>
    </row>
    <row r="33" spans="1:10" s="11" customFormat="1" ht="21" customHeight="1" hidden="1">
      <c r="A33" s="22" t="s">
        <v>23</v>
      </c>
      <c r="B33" s="6">
        <v>29</v>
      </c>
      <c r="C33" s="20">
        <f>B33/28</f>
        <v>1.0357142857142858</v>
      </c>
      <c r="D33" s="36">
        <f>B33/286528.5*1000</f>
        <v>0.10121157232177602</v>
      </c>
      <c r="E33" s="28">
        <v>4</v>
      </c>
      <c r="F33" s="28">
        <v>0</v>
      </c>
      <c r="G33" s="28">
        <v>4</v>
      </c>
      <c r="H33" s="21">
        <v>3160</v>
      </c>
      <c r="I33" s="23"/>
      <c r="J33" s="35"/>
    </row>
    <row r="34" spans="1:11" s="11" customFormat="1" ht="21" customHeight="1" hidden="1">
      <c r="A34" s="22" t="s">
        <v>39</v>
      </c>
      <c r="B34" s="6">
        <v>26</v>
      </c>
      <c r="C34" s="20">
        <f>B34/31</f>
        <v>0.8387096774193549</v>
      </c>
      <c r="D34" s="36">
        <f>B34/287475.5*1000</f>
        <v>0.09044248988174644</v>
      </c>
      <c r="E34" s="28">
        <v>0</v>
      </c>
      <c r="F34" s="28">
        <v>0</v>
      </c>
      <c r="G34" s="28">
        <v>3</v>
      </c>
      <c r="H34" s="21">
        <v>1831</v>
      </c>
      <c r="I34" s="23"/>
      <c r="J34" s="35"/>
      <c r="K34" s="39"/>
    </row>
    <row r="35" spans="1:11" s="11" customFormat="1" ht="21" customHeight="1" hidden="1">
      <c r="A35" s="22" t="s">
        <v>40</v>
      </c>
      <c r="B35" s="6">
        <v>26</v>
      </c>
      <c r="C35" s="20">
        <f>B35/30</f>
        <v>0.8666666666666667</v>
      </c>
      <c r="D35" s="36">
        <f>B35/288624*1000</f>
        <v>0.09008259881368147</v>
      </c>
      <c r="E35" s="28">
        <v>0</v>
      </c>
      <c r="F35" s="28">
        <v>1</v>
      </c>
      <c r="G35" s="28">
        <v>1</v>
      </c>
      <c r="H35" s="21">
        <v>1797</v>
      </c>
      <c r="I35" s="23"/>
      <c r="J35" s="35"/>
      <c r="K35" s="39"/>
    </row>
    <row r="36" spans="1:11" s="11" customFormat="1" ht="21" customHeight="1" hidden="1">
      <c r="A36" s="22" t="s">
        <v>45</v>
      </c>
      <c r="B36" s="6">
        <v>18</v>
      </c>
      <c r="C36" s="20">
        <f>B36/31</f>
        <v>0.5806451612903226</v>
      </c>
      <c r="D36" s="36">
        <f>B36/289779*1000</f>
        <v>0.062116302423571065</v>
      </c>
      <c r="E36" s="28">
        <v>4</v>
      </c>
      <c r="F36" s="28">
        <v>0</v>
      </c>
      <c r="G36" s="28">
        <v>0</v>
      </c>
      <c r="H36" s="21">
        <v>2360</v>
      </c>
      <c r="I36" s="23"/>
      <c r="J36" s="35"/>
      <c r="K36" s="39"/>
    </row>
    <row r="37" spans="1:11" s="11" customFormat="1" ht="21" customHeight="1" hidden="1">
      <c r="A37" s="22" t="s">
        <v>51</v>
      </c>
      <c r="B37" s="6">
        <v>21</v>
      </c>
      <c r="C37" s="20">
        <f>B37/30</f>
        <v>0.7</v>
      </c>
      <c r="D37" s="36">
        <f>B37/291114*1000</f>
        <v>0.07213668871988294</v>
      </c>
      <c r="E37" s="28">
        <v>4</v>
      </c>
      <c r="F37" s="28">
        <v>0</v>
      </c>
      <c r="G37" s="28">
        <v>0</v>
      </c>
      <c r="H37" s="21">
        <v>4708</v>
      </c>
      <c r="I37" s="23"/>
      <c r="J37" s="35"/>
      <c r="K37" s="39"/>
    </row>
    <row r="38" spans="1:11" s="11" customFormat="1" ht="21" customHeight="1" hidden="1">
      <c r="A38" s="22" t="s">
        <v>32</v>
      </c>
      <c r="B38" s="6">
        <v>27</v>
      </c>
      <c r="C38" s="20">
        <f>B38/31</f>
        <v>0.8709677419354839</v>
      </c>
      <c r="D38" s="36">
        <f>B38/292295.5*1000</f>
        <v>0.09237227394879496</v>
      </c>
      <c r="E38" s="28">
        <v>10</v>
      </c>
      <c r="F38" s="28">
        <v>0</v>
      </c>
      <c r="G38" s="28">
        <v>2</v>
      </c>
      <c r="H38" s="21">
        <v>8518</v>
      </c>
      <c r="I38" s="23"/>
      <c r="J38" s="35"/>
      <c r="K38" s="39"/>
    </row>
    <row r="39" spans="1:11" s="11" customFormat="1" ht="21" customHeight="1" hidden="1">
      <c r="A39" s="22" t="s">
        <v>52</v>
      </c>
      <c r="B39" s="6">
        <v>18</v>
      </c>
      <c r="C39" s="20">
        <f>B39/31</f>
        <v>0.5806451612903226</v>
      </c>
      <c r="D39" s="36">
        <f>B39/293217*1000</f>
        <v>0.06138798227933578</v>
      </c>
      <c r="E39" s="28">
        <v>0</v>
      </c>
      <c r="F39" s="28">
        <v>0</v>
      </c>
      <c r="G39" s="28">
        <v>0</v>
      </c>
      <c r="H39" s="21">
        <v>5586</v>
      </c>
      <c r="I39" s="23"/>
      <c r="J39" s="35"/>
      <c r="K39" s="39"/>
    </row>
    <row r="40" spans="1:11" s="11" customFormat="1" ht="21" customHeight="1" hidden="1">
      <c r="A40" s="22" t="s">
        <v>53</v>
      </c>
      <c r="B40" s="6">
        <v>35</v>
      </c>
      <c r="C40" s="20">
        <f>B40/30</f>
        <v>1.1666666666666667</v>
      </c>
      <c r="D40" s="36">
        <f>B40/294036.5*1000</f>
        <v>0.11903284116087628</v>
      </c>
      <c r="E40" s="28">
        <v>3</v>
      </c>
      <c r="F40" s="28">
        <v>1</v>
      </c>
      <c r="G40" s="28">
        <v>2</v>
      </c>
      <c r="H40" s="21">
        <v>6330</v>
      </c>
      <c r="I40" s="23"/>
      <c r="J40" s="35"/>
      <c r="K40" s="39"/>
    </row>
    <row r="41" spans="1:11" s="11" customFormat="1" ht="21" customHeight="1" hidden="1">
      <c r="A41" s="22" t="s">
        <v>56</v>
      </c>
      <c r="B41" s="6">
        <v>25</v>
      </c>
      <c r="C41" s="20">
        <f>B41/31</f>
        <v>0.8064516129032258</v>
      </c>
      <c r="D41" s="36">
        <f>B41/293217*1000</f>
        <v>0.08526108649907747</v>
      </c>
      <c r="E41" s="28">
        <v>4</v>
      </c>
      <c r="F41" s="28">
        <v>0</v>
      </c>
      <c r="G41" s="28">
        <v>3</v>
      </c>
      <c r="H41" s="21">
        <v>9355</v>
      </c>
      <c r="I41" s="23"/>
      <c r="J41" s="35"/>
      <c r="K41" s="39"/>
    </row>
    <row r="42" spans="1:11" s="11" customFormat="1" ht="21" customHeight="1" hidden="1">
      <c r="A42" s="22" t="s">
        <v>57</v>
      </c>
      <c r="B42" s="6">
        <v>33</v>
      </c>
      <c r="C42" s="20">
        <f>B42/30</f>
        <v>1.1</v>
      </c>
      <c r="D42" s="36">
        <f>B42/((295228+295985)/2)*1000</f>
        <v>0.11163489300810368</v>
      </c>
      <c r="E42" s="28">
        <v>5</v>
      </c>
      <c r="F42" s="28" t="s">
        <v>30</v>
      </c>
      <c r="G42" s="28" t="s">
        <v>30</v>
      </c>
      <c r="H42" s="21">
        <v>11848</v>
      </c>
      <c r="I42" s="23"/>
      <c r="J42" s="35"/>
      <c r="K42" s="39"/>
    </row>
    <row r="43" spans="1:11" s="11" customFormat="1" ht="21" customHeight="1" hidden="1">
      <c r="A43" s="49" t="s">
        <v>58</v>
      </c>
      <c r="B43" s="6">
        <v>32</v>
      </c>
      <c r="C43" s="20">
        <f>B43/31</f>
        <v>1.032258064516129</v>
      </c>
      <c r="D43" s="36">
        <f>B43/((295985+296875)/2)*1000</f>
        <v>0.1079512869817495</v>
      </c>
      <c r="E43" s="28">
        <v>28</v>
      </c>
      <c r="F43" s="28" t="s">
        <v>30</v>
      </c>
      <c r="G43" s="28">
        <v>5</v>
      </c>
      <c r="H43" s="21">
        <v>6163</v>
      </c>
      <c r="I43" s="23"/>
      <c r="J43" s="35"/>
      <c r="K43" s="39"/>
    </row>
    <row r="44" spans="1:11" s="11" customFormat="1" ht="21" customHeight="1" hidden="1">
      <c r="A44" s="27" t="s">
        <v>59</v>
      </c>
      <c r="B44" s="28">
        <v>293</v>
      </c>
      <c r="C44" s="36">
        <v>0.8027397260273973</v>
      </c>
      <c r="D44" s="36">
        <v>0.9695886693801913</v>
      </c>
      <c r="E44" s="28">
        <v>40</v>
      </c>
      <c r="F44" s="28">
        <v>7</v>
      </c>
      <c r="G44" s="28">
        <v>25</v>
      </c>
      <c r="H44" s="32">
        <v>95427.5</v>
      </c>
      <c r="I44" s="37">
        <v>0</v>
      </c>
      <c r="J44" s="28">
        <v>0</v>
      </c>
      <c r="K44" s="39"/>
    </row>
    <row r="45" spans="1:11" s="11" customFormat="1" ht="21" customHeight="1" hidden="1">
      <c r="A45" s="49" t="s">
        <v>36</v>
      </c>
      <c r="B45" s="6">
        <v>30</v>
      </c>
      <c r="C45" s="20">
        <f>B45/31</f>
        <v>0.967741935483871</v>
      </c>
      <c r="D45" s="36">
        <f>B45/((296875+297553)/2)*1000</f>
        <v>0.10093737172542343</v>
      </c>
      <c r="E45" s="28">
        <v>40</v>
      </c>
      <c r="F45" s="34">
        <v>2</v>
      </c>
      <c r="G45" s="34">
        <v>2</v>
      </c>
      <c r="H45" s="21">
        <v>7059</v>
      </c>
      <c r="I45" s="23"/>
      <c r="J45" s="35"/>
      <c r="K45" s="39"/>
    </row>
    <row r="46" spans="1:11" s="11" customFormat="1" ht="21" customHeight="1" hidden="1">
      <c r="A46" s="49" t="s">
        <v>27</v>
      </c>
      <c r="B46" s="6">
        <v>29</v>
      </c>
      <c r="C46" s="20">
        <f>B46/29</f>
        <v>1</v>
      </c>
      <c r="D46" s="36">
        <f>B46/((297553+298031)/2)*1000</f>
        <v>0.09738340855362132</v>
      </c>
      <c r="E46" s="28">
        <v>40</v>
      </c>
      <c r="F46" s="34">
        <v>0</v>
      </c>
      <c r="G46" s="34">
        <v>1</v>
      </c>
      <c r="H46" s="21">
        <v>15004</v>
      </c>
      <c r="I46" s="23"/>
      <c r="J46" s="35"/>
      <c r="K46" s="39"/>
    </row>
    <row r="47" spans="1:11" s="11" customFormat="1" ht="21" customHeight="1" hidden="1">
      <c r="A47" s="49" t="s">
        <v>60</v>
      </c>
      <c r="B47" s="6">
        <v>27</v>
      </c>
      <c r="C47" s="20">
        <f>B47/31</f>
        <v>0.8709677419354839</v>
      </c>
      <c r="D47" s="36">
        <f>B47/((298031+298990)/2)*1000</f>
        <v>0.09044907968061425</v>
      </c>
      <c r="E47" s="28">
        <v>40</v>
      </c>
      <c r="F47" s="34">
        <v>0</v>
      </c>
      <c r="G47" s="34">
        <v>9</v>
      </c>
      <c r="H47" s="21">
        <v>10499.5</v>
      </c>
      <c r="I47" s="23"/>
      <c r="J47" s="35"/>
      <c r="K47" s="39"/>
    </row>
    <row r="48" spans="1:11" s="11" customFormat="1" ht="21" customHeight="1" hidden="1">
      <c r="A48" s="49" t="s">
        <v>61</v>
      </c>
      <c r="B48" s="6">
        <v>22</v>
      </c>
      <c r="C48" s="20">
        <f>B48/30</f>
        <v>0.7333333333333333</v>
      </c>
      <c r="D48" s="36">
        <f>B48/((300079+298990)/2)*1000</f>
        <v>0.07344729905903995</v>
      </c>
      <c r="E48" s="28">
        <v>40</v>
      </c>
      <c r="F48" s="34">
        <v>0</v>
      </c>
      <c r="G48" s="34">
        <v>3</v>
      </c>
      <c r="H48" s="21">
        <v>9814</v>
      </c>
      <c r="I48" s="23"/>
      <c r="J48" s="35"/>
      <c r="K48" s="39"/>
    </row>
    <row r="49" spans="1:11" s="11" customFormat="1" ht="21" customHeight="1" hidden="1">
      <c r="A49" s="49" t="s">
        <v>62</v>
      </c>
      <c r="B49" s="6">
        <v>22</v>
      </c>
      <c r="C49" s="20">
        <f>B49/31</f>
        <v>0.7096774193548387</v>
      </c>
      <c r="D49" s="36">
        <f>B49/((300079+301412)/2)*1000</f>
        <v>0.07315155172729101</v>
      </c>
      <c r="E49" s="28">
        <v>40</v>
      </c>
      <c r="F49" s="34">
        <v>2</v>
      </c>
      <c r="G49" s="34">
        <v>8</v>
      </c>
      <c r="H49" s="21">
        <v>4180</v>
      </c>
      <c r="I49" s="23"/>
      <c r="J49" s="35"/>
      <c r="K49" s="39"/>
    </row>
    <row r="50" spans="1:11" s="11" customFormat="1" ht="21" customHeight="1" hidden="1">
      <c r="A50" s="49" t="s">
        <v>63</v>
      </c>
      <c r="B50" s="6">
        <v>18</v>
      </c>
      <c r="C50" s="20">
        <f>B50/30</f>
        <v>0.6</v>
      </c>
      <c r="D50" s="36">
        <f>B50/((302851+301412)/2)*1000</f>
        <v>0.05957670749326039</v>
      </c>
      <c r="E50" s="28">
        <v>40</v>
      </c>
      <c r="F50" s="34">
        <v>0</v>
      </c>
      <c r="G50" s="34">
        <v>0</v>
      </c>
      <c r="H50" s="21">
        <v>1917</v>
      </c>
      <c r="I50" s="23"/>
      <c r="J50" s="35"/>
      <c r="K50" s="39"/>
    </row>
    <row r="51" spans="1:11" s="11" customFormat="1" ht="21" customHeight="1" hidden="1">
      <c r="A51" s="49" t="s">
        <v>64</v>
      </c>
      <c r="B51" s="6">
        <v>24</v>
      </c>
      <c r="C51" s="20">
        <f>B51/31</f>
        <v>0.7741935483870968</v>
      </c>
      <c r="D51" s="36">
        <f>B51/((302851+303279)/2)*1000</f>
        <v>0.07919093263821292</v>
      </c>
      <c r="E51" s="28">
        <v>40</v>
      </c>
      <c r="F51" s="34">
        <v>0</v>
      </c>
      <c r="G51" s="34">
        <v>1</v>
      </c>
      <c r="H51" s="21">
        <v>2918</v>
      </c>
      <c r="I51" s="23"/>
      <c r="J51" s="35"/>
      <c r="K51" s="39"/>
    </row>
    <row r="52" spans="1:11" s="11" customFormat="1" ht="21" customHeight="1" hidden="1">
      <c r="A52" s="49" t="s">
        <v>65</v>
      </c>
      <c r="B52" s="6">
        <v>26</v>
      </c>
      <c r="C52" s="20">
        <f>B52/31</f>
        <v>0.8387096774193549</v>
      </c>
      <c r="D52" s="36">
        <f>B52/((304591+303279)/2)*1000</f>
        <v>0.08554460657706418</v>
      </c>
      <c r="E52" s="28">
        <v>40</v>
      </c>
      <c r="F52" s="34">
        <v>0</v>
      </c>
      <c r="G52" s="34">
        <v>0</v>
      </c>
      <c r="H52" s="21">
        <v>20459</v>
      </c>
      <c r="I52" s="23"/>
      <c r="J52" s="35"/>
      <c r="K52" s="39"/>
    </row>
    <row r="53" spans="1:11" s="11" customFormat="1" ht="21" customHeight="1" hidden="1">
      <c r="A53" s="49" t="s">
        <v>66</v>
      </c>
      <c r="B53" s="6">
        <v>34</v>
      </c>
      <c r="C53" s="20">
        <f>B53/30</f>
        <v>1.1333333333333333</v>
      </c>
      <c r="D53" s="36">
        <f>B53/((304591+305286)/2)*1000</f>
        <v>0.11149789219793499</v>
      </c>
      <c r="E53" s="28">
        <v>40</v>
      </c>
      <c r="F53" s="34">
        <v>2</v>
      </c>
      <c r="G53" s="34">
        <v>0</v>
      </c>
      <c r="H53" s="21">
        <v>8456</v>
      </c>
      <c r="I53" s="23"/>
      <c r="J53" s="35"/>
      <c r="K53" s="39"/>
    </row>
    <row r="54" spans="1:11" s="11" customFormat="1" ht="21" customHeight="1" hidden="1">
      <c r="A54" s="49" t="s">
        <v>67</v>
      </c>
      <c r="B54" s="6">
        <v>18</v>
      </c>
      <c r="C54" s="20">
        <f>B54/31</f>
        <v>0.5806451612903226</v>
      </c>
      <c r="D54" s="36">
        <f>B54/((306104+305286)/2)*1000</f>
        <v>0.05888221920541717</v>
      </c>
      <c r="E54" s="28">
        <v>40</v>
      </c>
      <c r="F54" s="34">
        <v>0</v>
      </c>
      <c r="G54" s="34">
        <v>0</v>
      </c>
      <c r="H54" s="21">
        <v>3978</v>
      </c>
      <c r="I54" s="23"/>
      <c r="J54" s="35"/>
      <c r="K54" s="39"/>
    </row>
    <row r="55" spans="1:11" s="11" customFormat="1" ht="21" customHeight="1" hidden="1">
      <c r="A55" s="49" t="s">
        <v>68</v>
      </c>
      <c r="B55" s="6">
        <v>20</v>
      </c>
      <c r="C55" s="20">
        <f>B55/30</f>
        <v>0.6666666666666666</v>
      </c>
      <c r="D55" s="36">
        <f>B55/((306104+306729)/2)*1000</f>
        <v>0.06527063653556515</v>
      </c>
      <c r="E55" s="28">
        <v>40</v>
      </c>
      <c r="F55" s="34">
        <v>1</v>
      </c>
      <c r="G55" s="34">
        <v>0</v>
      </c>
      <c r="H55" s="21">
        <v>5408</v>
      </c>
      <c r="I55" s="23"/>
      <c r="J55" s="35"/>
      <c r="K55" s="39"/>
    </row>
    <row r="56" spans="1:11" s="11" customFormat="1" ht="21" customHeight="1" hidden="1">
      <c r="A56" s="49" t="s">
        <v>69</v>
      </c>
      <c r="B56" s="6">
        <v>23</v>
      </c>
      <c r="C56" s="20">
        <f>B56/31</f>
        <v>0.7419354838709677</v>
      </c>
      <c r="D56" s="36">
        <f>B56/((307505+306729)/2)*1000</f>
        <v>0.07489002562541311</v>
      </c>
      <c r="E56" s="28">
        <v>40</v>
      </c>
      <c r="F56" s="34">
        <v>0</v>
      </c>
      <c r="G56" s="34">
        <v>1</v>
      </c>
      <c r="H56" s="21">
        <v>5735</v>
      </c>
      <c r="I56" s="23"/>
      <c r="J56" s="35"/>
      <c r="K56" s="39"/>
    </row>
    <row r="57" spans="1:11" s="11" customFormat="1" ht="21" customHeight="1" hidden="1">
      <c r="A57" s="27" t="s">
        <v>70</v>
      </c>
      <c r="B57" s="28">
        <f>SUM(B58:B69)</f>
        <v>303</v>
      </c>
      <c r="C57" s="36">
        <f>303/365</f>
        <v>0.8301369863013699</v>
      </c>
      <c r="D57" s="36">
        <f>303/317310*1000</f>
        <v>0.9549021461662096</v>
      </c>
      <c r="E57" s="28">
        <f aca="true" t="shared" si="2" ref="E57:J57">SUM(E58:E69)</f>
        <v>53</v>
      </c>
      <c r="F57" s="28">
        <f t="shared" si="2"/>
        <v>20</v>
      </c>
      <c r="G57" s="28">
        <f t="shared" si="2"/>
        <v>22</v>
      </c>
      <c r="H57" s="32">
        <f t="shared" si="2"/>
        <v>72807</v>
      </c>
      <c r="I57" s="37">
        <f t="shared" si="2"/>
        <v>0</v>
      </c>
      <c r="J57" s="28">
        <f t="shared" si="2"/>
        <v>0</v>
      </c>
      <c r="K57" s="39"/>
    </row>
    <row r="58" spans="1:11" s="11" customFormat="1" ht="21" customHeight="1" hidden="1">
      <c r="A58" s="49" t="s">
        <v>36</v>
      </c>
      <c r="B58" s="6">
        <v>26</v>
      </c>
      <c r="C58" s="20">
        <f>B58/31</f>
        <v>0.8387096774193549</v>
      </c>
      <c r="D58" s="36">
        <f>B58/((307505+308075)/2)*1000</f>
        <v>0.08447317976542447</v>
      </c>
      <c r="E58" s="34">
        <v>16</v>
      </c>
      <c r="F58" s="34">
        <v>4</v>
      </c>
      <c r="G58" s="34">
        <v>0</v>
      </c>
      <c r="H58" s="21">
        <v>15291</v>
      </c>
      <c r="I58" s="23"/>
      <c r="J58" s="35"/>
      <c r="K58" s="39"/>
    </row>
    <row r="59" spans="1:11" s="11" customFormat="1" ht="21" customHeight="1" hidden="1">
      <c r="A59" s="49" t="s">
        <v>41</v>
      </c>
      <c r="B59" s="6">
        <v>26</v>
      </c>
      <c r="C59" s="20">
        <f>B59/28</f>
        <v>0.9285714285714286</v>
      </c>
      <c r="D59" s="36">
        <f>B59/((309267+308075)/2)*1000</f>
        <v>0.08423207881530821</v>
      </c>
      <c r="E59" s="34">
        <v>1</v>
      </c>
      <c r="F59" s="34">
        <v>3</v>
      </c>
      <c r="G59" s="34">
        <v>3</v>
      </c>
      <c r="H59" s="21">
        <v>6670</v>
      </c>
      <c r="I59" s="23"/>
      <c r="J59" s="35"/>
      <c r="K59" s="39"/>
    </row>
    <row r="60" spans="1:11" s="11" customFormat="1" ht="21" customHeight="1" hidden="1">
      <c r="A60" s="49" t="s">
        <v>42</v>
      </c>
      <c r="B60" s="6">
        <v>39</v>
      </c>
      <c r="C60" s="20">
        <f>B60/31</f>
        <v>1.2580645161290323</v>
      </c>
      <c r="D60" s="36">
        <f>B60/((309267+310549)/2)*1000</f>
        <v>0.1258437988048066</v>
      </c>
      <c r="E60" s="34">
        <v>4</v>
      </c>
      <c r="F60" s="34">
        <v>0</v>
      </c>
      <c r="G60" s="34">
        <v>1</v>
      </c>
      <c r="H60" s="21">
        <v>3420</v>
      </c>
      <c r="I60" s="23"/>
      <c r="J60" s="35"/>
      <c r="K60" s="39"/>
    </row>
    <row r="61" spans="1:11" s="11" customFormat="1" ht="21" customHeight="1" hidden="1">
      <c r="A61" s="49" t="s">
        <v>71</v>
      </c>
      <c r="B61" s="6">
        <v>11</v>
      </c>
      <c r="C61" s="20">
        <f>B61/30</f>
        <v>0.36666666666666664</v>
      </c>
      <c r="D61" s="36">
        <f>B61/((311713+310549)/2)*1000</f>
        <v>0.03535488267000074</v>
      </c>
      <c r="E61" s="34">
        <v>0</v>
      </c>
      <c r="F61" s="34">
        <v>0</v>
      </c>
      <c r="G61" s="34">
        <v>3</v>
      </c>
      <c r="H61" s="21">
        <v>1274</v>
      </c>
      <c r="I61" s="23"/>
      <c r="J61" s="35"/>
      <c r="K61" s="39"/>
    </row>
    <row r="62" spans="1:11" s="11" customFormat="1" ht="21" customHeight="1" hidden="1">
      <c r="A62" s="49" t="s">
        <v>72</v>
      </c>
      <c r="B62" s="6">
        <v>17</v>
      </c>
      <c r="C62" s="20">
        <f>B62/31</f>
        <v>0.5483870967741935</v>
      </c>
      <c r="D62" s="36">
        <f>B62/((311713+312912)/2)*1000</f>
        <v>0.05443265959575745</v>
      </c>
      <c r="E62" s="34">
        <v>2</v>
      </c>
      <c r="F62" s="34">
        <v>4</v>
      </c>
      <c r="G62" s="34">
        <v>1</v>
      </c>
      <c r="H62" s="21">
        <v>1397</v>
      </c>
      <c r="I62" s="23"/>
      <c r="J62" s="35"/>
      <c r="K62" s="39"/>
    </row>
    <row r="63" spans="1:11" s="11" customFormat="1" ht="21" customHeight="1" hidden="1">
      <c r="A63" s="49" t="s">
        <v>73</v>
      </c>
      <c r="B63" s="6">
        <v>21</v>
      </c>
      <c r="C63" s="20">
        <f>B63/30</f>
        <v>0.7</v>
      </c>
      <c r="D63" s="36">
        <f>B63/((314134+312912)/2)*1000</f>
        <v>0.0669807318761303</v>
      </c>
      <c r="E63" s="34">
        <v>8</v>
      </c>
      <c r="F63" s="34">
        <v>1</v>
      </c>
      <c r="G63" s="34">
        <v>1</v>
      </c>
      <c r="H63" s="21">
        <v>7546</v>
      </c>
      <c r="I63" s="23"/>
      <c r="J63" s="35"/>
      <c r="K63" s="39"/>
    </row>
    <row r="64" spans="1:11" s="11" customFormat="1" ht="21" customHeight="1" hidden="1">
      <c r="A64" s="49" t="s">
        <v>74</v>
      </c>
      <c r="B64" s="6">
        <v>25</v>
      </c>
      <c r="C64" s="20">
        <f>B64/31</f>
        <v>0.8064516129032258</v>
      </c>
      <c r="D64" s="36">
        <f>B64/((314134+314816)/2)*1000</f>
        <v>0.07949757532395263</v>
      </c>
      <c r="E64" s="34">
        <v>2</v>
      </c>
      <c r="F64" s="34">
        <v>2</v>
      </c>
      <c r="G64" s="34">
        <v>1</v>
      </c>
      <c r="H64" s="21">
        <v>4370</v>
      </c>
      <c r="I64" s="23"/>
      <c r="J64" s="35"/>
      <c r="K64" s="39"/>
    </row>
    <row r="65" spans="1:11" s="11" customFormat="1" ht="21" customHeight="1" hidden="1">
      <c r="A65" s="49" t="s">
        <v>75</v>
      </c>
      <c r="B65" s="6">
        <v>30</v>
      </c>
      <c r="C65" s="20">
        <f>B65/31</f>
        <v>0.967741935483871</v>
      </c>
      <c r="D65" s="36">
        <f>B65/((315452+314816)/2)*1000</f>
        <v>0.09519759848191563</v>
      </c>
      <c r="E65" s="34">
        <v>1</v>
      </c>
      <c r="F65" s="34">
        <v>0</v>
      </c>
      <c r="G65" s="34">
        <v>2</v>
      </c>
      <c r="H65" s="21">
        <v>9009</v>
      </c>
      <c r="I65" s="23"/>
      <c r="J65" s="35"/>
      <c r="K65" s="39"/>
    </row>
    <row r="66" spans="1:11" s="11" customFormat="1" ht="21" customHeight="1" hidden="1">
      <c r="A66" s="49" t="s">
        <v>76</v>
      </c>
      <c r="B66" s="6">
        <v>32</v>
      </c>
      <c r="C66" s="20">
        <f>B66/30</f>
        <v>1.0666666666666667</v>
      </c>
      <c r="D66" s="36">
        <f>B66/((315452+315981)/2)*1000</f>
        <v>0.10135675519017853</v>
      </c>
      <c r="E66" s="34">
        <v>2</v>
      </c>
      <c r="F66" s="34">
        <v>2</v>
      </c>
      <c r="G66" s="34">
        <v>0</v>
      </c>
      <c r="H66" s="21">
        <v>8955</v>
      </c>
      <c r="I66" s="23"/>
      <c r="J66" s="35"/>
      <c r="K66" s="39"/>
    </row>
    <row r="67" spans="1:11" s="11" customFormat="1" ht="21" customHeight="1" hidden="1">
      <c r="A67" s="49" t="s">
        <v>77</v>
      </c>
      <c r="B67" s="6">
        <v>31</v>
      </c>
      <c r="C67" s="20">
        <f>B67/31</f>
        <v>1</v>
      </c>
      <c r="D67" s="36">
        <f>B67/((316209+315981)/2)*1000</f>
        <v>0.09807178221737137</v>
      </c>
      <c r="E67" s="34">
        <v>16</v>
      </c>
      <c r="F67" s="34">
        <v>2</v>
      </c>
      <c r="G67" s="34">
        <v>1</v>
      </c>
      <c r="H67" s="21">
        <v>11550</v>
      </c>
      <c r="I67" s="23"/>
      <c r="J67" s="35"/>
      <c r="K67" s="39"/>
    </row>
    <row r="68" spans="1:11" s="11" customFormat="1" ht="21" customHeight="1" hidden="1">
      <c r="A68" s="49" t="s">
        <v>78</v>
      </c>
      <c r="B68" s="6">
        <v>21</v>
      </c>
      <c r="C68" s="20">
        <f>B68/30</f>
        <v>0.7</v>
      </c>
      <c r="D68" s="36">
        <f>B68/((316209+316541)/2)*1000</f>
        <v>0.06637692611615963</v>
      </c>
      <c r="E68" s="34">
        <v>0</v>
      </c>
      <c r="F68" s="34">
        <v>1</v>
      </c>
      <c r="G68" s="34">
        <v>7</v>
      </c>
      <c r="H68" s="21">
        <v>1655</v>
      </c>
      <c r="I68" s="23"/>
      <c r="J68" s="35"/>
      <c r="K68" s="39"/>
    </row>
    <row r="69" spans="1:11" s="11" customFormat="1" ht="21" customHeight="1" hidden="1">
      <c r="A69" s="49" t="s">
        <v>79</v>
      </c>
      <c r="B69" s="6">
        <v>24</v>
      </c>
      <c r="C69" s="20">
        <f>B69/31</f>
        <v>0.7741935483870968</v>
      </c>
      <c r="D69" s="36">
        <f>B69/((317310+316541)/2)*1000</f>
        <v>0.07572757635469535</v>
      </c>
      <c r="E69" s="34">
        <v>1</v>
      </c>
      <c r="F69" s="34">
        <v>1</v>
      </c>
      <c r="G69" s="34">
        <v>2</v>
      </c>
      <c r="H69" s="21">
        <v>1670</v>
      </c>
      <c r="I69" s="23"/>
      <c r="J69" s="35"/>
      <c r="K69" s="39"/>
    </row>
    <row r="70" spans="1:11" s="11" customFormat="1" ht="21" customHeight="1" hidden="1">
      <c r="A70" s="27" t="s">
        <v>80</v>
      </c>
      <c r="B70" s="28">
        <f>SUM(B71:B82)</f>
        <v>272</v>
      </c>
      <c r="C70" s="36">
        <f>272/365</f>
        <v>0.7452054794520548</v>
      </c>
      <c r="D70" s="36">
        <f>272/324902*1000</f>
        <v>0.8371755175406739</v>
      </c>
      <c r="E70" s="51">
        <f>SUM(E71:E82)</f>
        <v>53</v>
      </c>
      <c r="F70" s="28">
        <f>SUM(F71:F82)</f>
        <v>14</v>
      </c>
      <c r="G70" s="28">
        <f>SUM(G71:G82)</f>
        <v>34</v>
      </c>
      <c r="H70" s="32">
        <f>SUM(H71:H82)</f>
        <v>46896</v>
      </c>
      <c r="I70" s="23"/>
      <c r="J70" s="35"/>
      <c r="K70" s="39"/>
    </row>
    <row r="71" spans="1:11" s="11" customFormat="1" ht="21" customHeight="1" hidden="1">
      <c r="A71" s="49" t="s">
        <v>36</v>
      </c>
      <c r="B71" s="6">
        <v>36</v>
      </c>
      <c r="C71" s="20">
        <f>B71/31</f>
        <v>1.1612903225806452</v>
      </c>
      <c r="D71" s="36">
        <f>B71/((317310+317813)/2)*1000</f>
        <v>0.11336386810113946</v>
      </c>
      <c r="E71" s="34">
        <v>1</v>
      </c>
      <c r="F71" s="34">
        <v>2</v>
      </c>
      <c r="G71" s="34">
        <v>6</v>
      </c>
      <c r="H71" s="21">
        <v>2492</v>
      </c>
      <c r="I71" s="23"/>
      <c r="J71" s="35"/>
      <c r="K71" s="39"/>
    </row>
    <row r="72" spans="1:11" s="11" customFormat="1" ht="21" customHeight="1" hidden="1">
      <c r="A72" s="49" t="s">
        <v>27</v>
      </c>
      <c r="B72" s="6">
        <v>34</v>
      </c>
      <c r="C72" s="20">
        <f>B72/28</f>
        <v>1.2142857142857142</v>
      </c>
      <c r="D72" s="52">
        <f>B72/((317813+318069)/2)*1000</f>
        <v>0.10693807970661225</v>
      </c>
      <c r="E72" s="34">
        <v>3</v>
      </c>
      <c r="F72" s="34">
        <v>2</v>
      </c>
      <c r="G72" s="34">
        <v>3</v>
      </c>
      <c r="H72" s="21">
        <v>5869</v>
      </c>
      <c r="I72" s="23"/>
      <c r="J72" s="35"/>
      <c r="K72" s="39"/>
    </row>
    <row r="73" spans="1:11" s="11" customFormat="1" ht="21" customHeight="1" hidden="1">
      <c r="A73" s="49" t="s">
        <v>60</v>
      </c>
      <c r="B73" s="6">
        <v>41</v>
      </c>
      <c r="C73" s="20">
        <f>B73/31</f>
        <v>1.3225806451612903</v>
      </c>
      <c r="D73" s="52">
        <f>B73/((318069+318997)/2)*1000</f>
        <v>0.12871507818656153</v>
      </c>
      <c r="E73" s="34">
        <v>7</v>
      </c>
      <c r="F73" s="34">
        <v>1</v>
      </c>
      <c r="G73" s="34">
        <v>6</v>
      </c>
      <c r="H73" s="21">
        <v>4117</v>
      </c>
      <c r="I73" s="23"/>
      <c r="J73" s="35"/>
      <c r="K73" s="39"/>
    </row>
    <row r="74" spans="1:11" s="11" customFormat="1" ht="21" customHeight="1" hidden="1">
      <c r="A74" s="49" t="s">
        <v>81</v>
      </c>
      <c r="B74" s="6">
        <v>24</v>
      </c>
      <c r="C74" s="20">
        <f>B74/30</f>
        <v>0.8</v>
      </c>
      <c r="D74" s="52">
        <f>B74/((318997+319549)/2)*1000</f>
        <v>0.07517077861266064</v>
      </c>
      <c r="E74" s="34">
        <v>2</v>
      </c>
      <c r="F74" s="34">
        <v>8</v>
      </c>
      <c r="G74" s="34">
        <v>1</v>
      </c>
      <c r="H74" s="21">
        <v>3833</v>
      </c>
      <c r="I74" s="23"/>
      <c r="J74" s="35"/>
      <c r="K74" s="39"/>
    </row>
    <row r="75" spans="1:11" s="11" customFormat="1" ht="21" customHeight="1" hidden="1">
      <c r="A75" s="49" t="s">
        <v>82</v>
      </c>
      <c r="B75" s="6">
        <v>36</v>
      </c>
      <c r="C75" s="20">
        <f>B75/31</f>
        <v>1.1612903225806452</v>
      </c>
      <c r="D75" s="52">
        <f>B75/((319549+320184)/2)*1000</f>
        <v>0.11254695318203062</v>
      </c>
      <c r="E75" s="34">
        <v>6</v>
      </c>
      <c r="F75" s="34">
        <v>0</v>
      </c>
      <c r="G75" s="34">
        <v>2</v>
      </c>
      <c r="H75" s="21">
        <v>4102</v>
      </c>
      <c r="I75" s="23"/>
      <c r="J75" s="35"/>
      <c r="K75" s="39"/>
    </row>
    <row r="76" spans="1:11" s="11" customFormat="1" ht="21" customHeight="1" hidden="1">
      <c r="A76" s="49" t="s">
        <v>83</v>
      </c>
      <c r="B76" s="6">
        <v>22</v>
      </c>
      <c r="C76" s="20">
        <f>B76/30</f>
        <v>0.7333333333333333</v>
      </c>
      <c r="D76" s="52">
        <f>B76/((320184+321184)/2)*1000</f>
        <v>0.06860336031732173</v>
      </c>
      <c r="E76" s="34">
        <v>6</v>
      </c>
      <c r="F76" s="34">
        <v>1</v>
      </c>
      <c r="G76" s="34">
        <v>3</v>
      </c>
      <c r="H76" s="21">
        <v>4395</v>
      </c>
      <c r="I76" s="23"/>
      <c r="J76" s="35"/>
      <c r="K76" s="39"/>
    </row>
    <row r="77" spans="1:11" s="11" customFormat="1" ht="21" customHeight="1" hidden="1">
      <c r="A77" s="49" t="s">
        <v>84</v>
      </c>
      <c r="B77" s="6">
        <v>4</v>
      </c>
      <c r="C77" s="20">
        <f>B77/31</f>
        <v>0.12903225806451613</v>
      </c>
      <c r="D77" s="52">
        <f>B77/((321184+321823)/2)*1000</f>
        <v>0.012441544182256181</v>
      </c>
      <c r="E77" s="34">
        <v>1</v>
      </c>
      <c r="F77" s="34">
        <v>0</v>
      </c>
      <c r="G77" s="34">
        <v>5</v>
      </c>
      <c r="H77" s="21">
        <v>1170</v>
      </c>
      <c r="I77" s="23"/>
      <c r="J77" s="35"/>
      <c r="K77" s="39"/>
    </row>
    <row r="78" spans="1:11" s="11" customFormat="1" ht="21" customHeight="1" hidden="1">
      <c r="A78" s="49" t="s">
        <v>85</v>
      </c>
      <c r="B78" s="6">
        <v>8</v>
      </c>
      <c r="C78" s="20">
        <f>B78/31</f>
        <v>0.25806451612903225</v>
      </c>
      <c r="D78" s="52">
        <f>B78/((321823+322639)/2)*1000</f>
        <v>0.0248269098876272</v>
      </c>
      <c r="E78" s="34">
        <v>1</v>
      </c>
      <c r="F78" s="34">
        <v>0</v>
      </c>
      <c r="G78" s="34">
        <v>0</v>
      </c>
      <c r="H78" s="21">
        <v>1471</v>
      </c>
      <c r="I78" s="23"/>
      <c r="J78" s="35"/>
      <c r="K78" s="39"/>
    </row>
    <row r="79" spans="1:11" s="11" customFormat="1" ht="21" customHeight="1" hidden="1">
      <c r="A79" s="49" t="s">
        <v>86</v>
      </c>
      <c r="B79" s="6">
        <v>27</v>
      </c>
      <c r="C79" s="20">
        <f>B79/30</f>
        <v>0.9</v>
      </c>
      <c r="D79" s="52">
        <f>B79/((322639+323258)/2)*1000</f>
        <v>0.08360466142434475</v>
      </c>
      <c r="E79" s="34">
        <v>2</v>
      </c>
      <c r="F79" s="34">
        <v>0</v>
      </c>
      <c r="G79" s="34">
        <v>5</v>
      </c>
      <c r="H79" s="21">
        <v>7527</v>
      </c>
      <c r="I79" s="23"/>
      <c r="J79" s="35"/>
      <c r="K79" s="39"/>
    </row>
    <row r="80" spans="1:11" s="11" customFormat="1" ht="21" customHeight="1" hidden="1">
      <c r="A80" s="49" t="s">
        <v>87</v>
      </c>
      <c r="B80" s="6">
        <v>16</v>
      </c>
      <c r="C80" s="20">
        <f>B80/31</f>
        <v>0.5161290322580645</v>
      </c>
      <c r="D80" s="52">
        <f>B80/((323258+323672)/2)*1000</f>
        <v>0.049464393365588236</v>
      </c>
      <c r="E80" s="34">
        <v>7</v>
      </c>
      <c r="F80" s="34">
        <v>0</v>
      </c>
      <c r="G80" s="34">
        <v>1</v>
      </c>
      <c r="H80" s="21">
        <v>4480</v>
      </c>
      <c r="I80" s="23"/>
      <c r="J80" s="35"/>
      <c r="K80" s="39"/>
    </row>
    <row r="81" spans="1:11" s="11" customFormat="1" ht="21" customHeight="1" hidden="1">
      <c r="A81" s="49" t="s">
        <v>88</v>
      </c>
      <c r="B81" s="6">
        <v>16</v>
      </c>
      <c r="C81" s="20">
        <f>B81/30</f>
        <v>0.5333333333333333</v>
      </c>
      <c r="D81" s="52">
        <f>B81/((323672+324206)/2)*1000</f>
        <v>0.04939201516334866</v>
      </c>
      <c r="E81" s="34">
        <v>7</v>
      </c>
      <c r="F81" s="34">
        <v>0</v>
      </c>
      <c r="G81" s="34">
        <v>1</v>
      </c>
      <c r="H81" s="21">
        <v>5100</v>
      </c>
      <c r="I81" s="23"/>
      <c r="J81" s="35"/>
      <c r="K81" s="39"/>
    </row>
    <row r="82" spans="1:11" s="11" customFormat="1" ht="21" customHeight="1" hidden="1">
      <c r="A82" s="49" t="s">
        <v>89</v>
      </c>
      <c r="B82" s="6">
        <v>8</v>
      </c>
      <c r="C82" s="20">
        <f>8/31</f>
        <v>0.25806451612903225</v>
      </c>
      <c r="D82" s="52">
        <f>B82/((324206+324902)/2)*1000</f>
        <v>0.024649210917135518</v>
      </c>
      <c r="E82" s="34">
        <v>10</v>
      </c>
      <c r="F82" s="34">
        <v>0</v>
      </c>
      <c r="G82" s="34">
        <v>1</v>
      </c>
      <c r="H82" s="21">
        <v>2340</v>
      </c>
      <c r="I82" s="23"/>
      <c r="J82" s="35"/>
      <c r="K82" s="39"/>
    </row>
    <row r="83" spans="1:11" s="11" customFormat="1" ht="21" customHeight="1" hidden="1">
      <c r="A83" s="27" t="s">
        <v>100</v>
      </c>
      <c r="B83" s="28">
        <f>SUM(B84:B95)</f>
        <v>197</v>
      </c>
      <c r="C83" s="36">
        <f>B83/365</f>
        <v>0.5397260273972603</v>
      </c>
      <c r="D83" s="36">
        <f>B83/332772*1000</f>
        <v>0.5919969228180255</v>
      </c>
      <c r="E83" s="28">
        <f>SUM(E84:E95)</f>
        <v>55</v>
      </c>
      <c r="F83" s="28">
        <f>SUM(F84:F95)</f>
        <v>18</v>
      </c>
      <c r="G83" s="28">
        <f>SUM(G84:G95)</f>
        <v>53</v>
      </c>
      <c r="H83" s="32">
        <f>SUM(H84:H95)</f>
        <v>38436</v>
      </c>
      <c r="I83" s="23"/>
      <c r="J83" s="35"/>
      <c r="K83" s="39"/>
    </row>
    <row r="84" spans="1:11" s="11" customFormat="1" ht="21" customHeight="1" hidden="1">
      <c r="A84" s="49" t="s">
        <v>36</v>
      </c>
      <c r="B84" s="6">
        <v>17</v>
      </c>
      <c r="C84" s="20">
        <f>B84/31</f>
        <v>0.5483870967741935</v>
      </c>
      <c r="D84" s="36">
        <f>B84/((324902+325382)/2)*1000</f>
        <v>0.052284847851092754</v>
      </c>
      <c r="E84" s="34">
        <v>4</v>
      </c>
      <c r="F84" s="34">
        <v>6</v>
      </c>
      <c r="G84" s="34">
        <v>8</v>
      </c>
      <c r="H84" s="21">
        <v>4470</v>
      </c>
      <c r="I84" s="23"/>
      <c r="J84" s="35"/>
      <c r="K84" s="39"/>
    </row>
    <row r="85" spans="1:11" s="11" customFormat="1" ht="21" customHeight="1" hidden="1">
      <c r="A85" s="49" t="s">
        <v>90</v>
      </c>
      <c r="B85" s="6">
        <v>11</v>
      </c>
      <c r="C85" s="20">
        <f>B85/28</f>
        <v>0.39285714285714285</v>
      </c>
      <c r="D85" s="36">
        <f>B85/((325382+325881)/2)*1000</f>
        <v>0.03378051570563659</v>
      </c>
      <c r="E85" s="34">
        <v>6</v>
      </c>
      <c r="F85" s="34">
        <v>2</v>
      </c>
      <c r="G85" s="34">
        <v>2</v>
      </c>
      <c r="H85" s="21">
        <v>3265</v>
      </c>
      <c r="I85" s="23"/>
      <c r="J85" s="35"/>
      <c r="K85" s="39"/>
    </row>
    <row r="86" spans="1:11" s="11" customFormat="1" ht="21" customHeight="1" hidden="1">
      <c r="A86" s="49" t="s">
        <v>91</v>
      </c>
      <c r="B86" s="6">
        <v>18</v>
      </c>
      <c r="C86" s="20">
        <f>B86/31</f>
        <v>0.5806451612903226</v>
      </c>
      <c r="D86" s="36">
        <f>B86/((325881+326714)/2)*1000</f>
        <v>0.05516438219722799</v>
      </c>
      <c r="E86" s="34">
        <v>8</v>
      </c>
      <c r="F86" s="34">
        <v>2</v>
      </c>
      <c r="G86" s="34">
        <v>1</v>
      </c>
      <c r="H86" s="21">
        <v>4605</v>
      </c>
      <c r="I86" s="23"/>
      <c r="J86" s="35"/>
      <c r="K86" s="39"/>
    </row>
    <row r="87" spans="1:11" s="11" customFormat="1" ht="21" customHeight="1" hidden="1">
      <c r="A87" s="49" t="s">
        <v>81</v>
      </c>
      <c r="B87" s="6">
        <v>18</v>
      </c>
      <c r="C87" s="20">
        <f>B87/30</f>
        <v>0.6</v>
      </c>
      <c r="D87" s="36">
        <f>B87/((326714+327487)/2)*1000</f>
        <v>0.05502895898966831</v>
      </c>
      <c r="E87" s="34">
        <v>1</v>
      </c>
      <c r="F87" s="34">
        <v>1</v>
      </c>
      <c r="G87" s="34">
        <v>1</v>
      </c>
      <c r="H87" s="21">
        <v>805</v>
      </c>
      <c r="I87" s="23"/>
      <c r="J87" s="35"/>
      <c r="K87" s="39"/>
    </row>
    <row r="88" spans="1:11" s="11" customFormat="1" ht="21" customHeight="1" hidden="1">
      <c r="A88" s="49" t="s">
        <v>92</v>
      </c>
      <c r="B88" s="6">
        <v>12</v>
      </c>
      <c r="C88" s="20">
        <f>B88/31</f>
        <v>0.3870967741935484</v>
      </c>
      <c r="D88" s="36">
        <f>B88/((327487+328089)/2)*1000</f>
        <v>0.03660902778625209</v>
      </c>
      <c r="E88" s="34">
        <v>2</v>
      </c>
      <c r="F88" s="34">
        <v>2</v>
      </c>
      <c r="G88" s="34">
        <v>1</v>
      </c>
      <c r="H88" s="21">
        <v>3290</v>
      </c>
      <c r="I88" s="23"/>
      <c r="J88" s="35"/>
      <c r="K88" s="39"/>
    </row>
    <row r="89" spans="1:11" s="11" customFormat="1" ht="21" customHeight="1" hidden="1">
      <c r="A89" s="49" t="s">
        <v>93</v>
      </c>
      <c r="B89" s="6">
        <v>15</v>
      </c>
      <c r="C89" s="20">
        <f>B89/30</f>
        <v>0.5</v>
      </c>
      <c r="D89" s="36">
        <f>B89/((328089+329082)/2)*1000</f>
        <v>0.04565021889279959</v>
      </c>
      <c r="E89" s="34">
        <v>2</v>
      </c>
      <c r="F89" s="34">
        <v>0</v>
      </c>
      <c r="G89" s="34">
        <v>3</v>
      </c>
      <c r="H89" s="21">
        <v>1400</v>
      </c>
      <c r="I89" s="23"/>
      <c r="J89" s="35"/>
      <c r="K89" s="39"/>
    </row>
    <row r="90" spans="1:11" s="11" customFormat="1" ht="21" customHeight="1" hidden="1">
      <c r="A90" s="49" t="s">
        <v>94</v>
      </c>
      <c r="B90" s="6">
        <v>17</v>
      </c>
      <c r="C90" s="20">
        <f>B90/31</f>
        <v>0.5483870967741935</v>
      </c>
      <c r="D90" s="36">
        <f>B90/((329082+329802)/2)*1000</f>
        <v>0.051602406493404</v>
      </c>
      <c r="E90" s="34">
        <v>6</v>
      </c>
      <c r="F90" s="34">
        <v>1</v>
      </c>
      <c r="G90" s="34">
        <v>3</v>
      </c>
      <c r="H90" s="21">
        <v>3505</v>
      </c>
      <c r="I90" s="23"/>
      <c r="J90" s="35"/>
      <c r="K90" s="39"/>
    </row>
    <row r="91" spans="1:11" s="11" customFormat="1" ht="21" customHeight="1" hidden="1">
      <c r="A91" s="49" t="s">
        <v>95</v>
      </c>
      <c r="B91" s="6">
        <v>15</v>
      </c>
      <c r="C91" s="20">
        <f>B91/31</f>
        <v>0.4838709677419355</v>
      </c>
      <c r="D91" s="36">
        <f>B91/((329802+330412)/2)*1000</f>
        <v>0.045439811939764985</v>
      </c>
      <c r="E91" s="34">
        <v>4</v>
      </c>
      <c r="F91" s="34">
        <v>0</v>
      </c>
      <c r="G91" s="34">
        <v>0</v>
      </c>
      <c r="H91" s="21">
        <v>4710</v>
      </c>
      <c r="I91" s="23"/>
      <c r="J91" s="35"/>
      <c r="K91" s="39"/>
    </row>
    <row r="92" spans="1:11" s="11" customFormat="1" ht="21" customHeight="1" hidden="1">
      <c r="A92" s="49" t="s">
        <v>96</v>
      </c>
      <c r="B92" s="6">
        <v>7</v>
      </c>
      <c r="C92" s="20">
        <f>B92/30</f>
        <v>0.23333333333333334</v>
      </c>
      <c r="D92" s="36">
        <f>B92/((330412+331153)/2)*1000</f>
        <v>0.021161941759313144</v>
      </c>
      <c r="E92" s="34">
        <v>6</v>
      </c>
      <c r="F92" s="34">
        <v>0</v>
      </c>
      <c r="G92" s="34">
        <v>6</v>
      </c>
      <c r="H92" s="21">
        <v>1350</v>
      </c>
      <c r="I92" s="23"/>
      <c r="J92" s="35"/>
      <c r="K92" s="39"/>
    </row>
    <row r="93" spans="1:11" s="11" customFormat="1" ht="21" customHeight="1" hidden="1">
      <c r="A93" s="49" t="s">
        <v>97</v>
      </c>
      <c r="B93" s="6">
        <v>22</v>
      </c>
      <c r="C93" s="20">
        <f>B93/31</f>
        <v>0.7096774193548387</v>
      </c>
      <c r="D93" s="36">
        <f>B93/((331153+331683)/2)*1000</f>
        <v>0.06638142768346922</v>
      </c>
      <c r="E93" s="34">
        <v>4</v>
      </c>
      <c r="F93" s="34">
        <v>0</v>
      </c>
      <c r="G93" s="34">
        <v>22</v>
      </c>
      <c r="H93" s="21">
        <v>4185</v>
      </c>
      <c r="I93" s="23"/>
      <c r="J93" s="35"/>
      <c r="K93" s="39"/>
    </row>
    <row r="94" spans="1:11" s="11" customFormat="1" ht="21" customHeight="1" hidden="1">
      <c r="A94" s="49" t="s">
        <v>98</v>
      </c>
      <c r="B94" s="6">
        <v>17</v>
      </c>
      <c r="C94" s="20">
        <f>B94/30</f>
        <v>0.5666666666666667</v>
      </c>
      <c r="D94" s="36">
        <f>B94/((331683+332204)/2)*1000</f>
        <v>0.05121353483348823</v>
      </c>
      <c r="E94" s="34">
        <v>2</v>
      </c>
      <c r="F94" s="34">
        <v>0</v>
      </c>
      <c r="G94" s="34">
        <v>0</v>
      </c>
      <c r="H94" s="21">
        <v>2422</v>
      </c>
      <c r="I94" s="23"/>
      <c r="J94" s="35"/>
      <c r="K94" s="39"/>
    </row>
    <row r="95" spans="1:11" s="11" customFormat="1" ht="21" customHeight="1" hidden="1">
      <c r="A95" s="49" t="s">
        <v>99</v>
      </c>
      <c r="B95" s="6">
        <v>28</v>
      </c>
      <c r="C95" s="20">
        <f>B95/31</f>
        <v>0.9032258064516129</v>
      </c>
      <c r="D95" s="36">
        <f>B95/((332204+332772)/2)*1000</f>
        <v>0.0842135656023676</v>
      </c>
      <c r="E95" s="34">
        <v>10</v>
      </c>
      <c r="F95" s="34">
        <v>4</v>
      </c>
      <c r="G95" s="34">
        <v>6</v>
      </c>
      <c r="H95" s="21">
        <v>4429</v>
      </c>
      <c r="I95" s="23"/>
      <c r="J95" s="35"/>
      <c r="K95" s="39"/>
    </row>
    <row r="96" spans="1:11" s="11" customFormat="1" ht="21" customHeight="1" hidden="1">
      <c r="A96" s="27" t="s">
        <v>101</v>
      </c>
      <c r="B96" s="28">
        <f>SUM(B97:B108)</f>
        <v>137</v>
      </c>
      <c r="C96" s="36">
        <f>B96/365</f>
        <v>0.37534246575342467</v>
      </c>
      <c r="D96" s="36">
        <f>B96/339730*1000</f>
        <v>0.40326141347540695</v>
      </c>
      <c r="E96" s="53">
        <f>SUM(E97:E108)</f>
        <v>58</v>
      </c>
      <c r="F96" s="53">
        <f>SUM(F97:F108)</f>
        <v>27</v>
      </c>
      <c r="G96" s="53">
        <f>SUM(G97:G108)</f>
        <v>32</v>
      </c>
      <c r="H96" s="32">
        <f>SUM(H97:H108)</f>
        <v>27691</v>
      </c>
      <c r="I96" s="39"/>
      <c r="J96" s="39"/>
      <c r="K96" s="39"/>
    </row>
    <row r="97" spans="1:8" ht="16.5" hidden="1">
      <c r="A97" s="49" t="s">
        <v>36</v>
      </c>
      <c r="B97" s="6">
        <v>9</v>
      </c>
      <c r="C97" s="20">
        <f>B97/31</f>
        <v>0.2903225806451613</v>
      </c>
      <c r="D97" s="55">
        <f>B97/((332772+333069)/2)*1000</f>
        <v>0.02703348096617661</v>
      </c>
      <c r="E97" s="34">
        <v>8</v>
      </c>
      <c r="F97" s="34">
        <v>13</v>
      </c>
      <c r="G97" s="34">
        <v>3</v>
      </c>
      <c r="H97" s="21">
        <v>4615</v>
      </c>
    </row>
    <row r="98" spans="1:8" ht="16.5" hidden="1">
      <c r="A98" s="49" t="s">
        <v>90</v>
      </c>
      <c r="B98" s="6">
        <v>8</v>
      </c>
      <c r="C98" s="20">
        <f>8/29</f>
        <v>0.27586206896551724</v>
      </c>
      <c r="D98" s="55">
        <f>B98/((333069+333560)/2)*1000</f>
        <v>0.024001356076618328</v>
      </c>
      <c r="E98" s="34">
        <v>0</v>
      </c>
      <c r="F98" s="34">
        <v>1</v>
      </c>
      <c r="G98" s="34">
        <v>0</v>
      </c>
      <c r="H98" s="21">
        <v>3445</v>
      </c>
    </row>
    <row r="99" spans="1:8" ht="16.5" hidden="1">
      <c r="A99" s="49" t="s">
        <v>91</v>
      </c>
      <c r="B99" s="6">
        <v>7</v>
      </c>
      <c r="C99" s="20">
        <f>7/31</f>
        <v>0.22580645161290322</v>
      </c>
      <c r="D99" s="55">
        <f>B99/((333560+333984)/2)*1000</f>
        <v>0.020972400321177333</v>
      </c>
      <c r="E99" s="34">
        <v>1</v>
      </c>
      <c r="F99" s="34">
        <v>6</v>
      </c>
      <c r="G99" s="34">
        <v>1</v>
      </c>
      <c r="H99" s="21">
        <v>1710</v>
      </c>
    </row>
    <row r="100" spans="1:8" ht="16.5" hidden="1">
      <c r="A100" s="49" t="s">
        <v>81</v>
      </c>
      <c r="B100" s="6">
        <v>13</v>
      </c>
      <c r="C100" s="20">
        <f>B100/310</f>
        <v>0.041935483870967745</v>
      </c>
      <c r="D100" s="55">
        <f>B100/((333984+334772)/2)*1000</f>
        <v>0.03887815585953621</v>
      </c>
      <c r="E100" s="34">
        <v>2</v>
      </c>
      <c r="F100" s="34">
        <v>0</v>
      </c>
      <c r="G100" s="34">
        <v>3</v>
      </c>
      <c r="H100" s="21">
        <v>1533</v>
      </c>
    </row>
    <row r="101" spans="1:8" ht="16.5" hidden="1">
      <c r="A101" s="49" t="s">
        <v>82</v>
      </c>
      <c r="B101" s="6">
        <v>3</v>
      </c>
      <c r="C101" s="20">
        <f>B101/31</f>
        <v>0.0967741935483871</v>
      </c>
      <c r="D101" s="55">
        <f>B101/((334772+335531)/2)*1000</f>
        <v>0.008951175811535976</v>
      </c>
      <c r="E101" s="34">
        <v>0</v>
      </c>
      <c r="F101" s="34">
        <v>0</v>
      </c>
      <c r="G101" s="34">
        <v>0</v>
      </c>
      <c r="H101" s="21">
        <v>200</v>
      </c>
    </row>
    <row r="102" spans="1:8" ht="16.5" hidden="1">
      <c r="A102" s="49" t="s">
        <v>83</v>
      </c>
      <c r="B102" s="6">
        <v>16</v>
      </c>
      <c r="C102" s="20">
        <f>B102/30</f>
        <v>0.5333333333333333</v>
      </c>
      <c r="D102" s="55">
        <f>B102/((335531+336529)/2)*1000</f>
        <v>0.04761479629794958</v>
      </c>
      <c r="E102" s="34">
        <v>4</v>
      </c>
      <c r="F102" s="34">
        <v>1</v>
      </c>
      <c r="G102" s="34">
        <v>2</v>
      </c>
      <c r="H102" s="21">
        <v>650</v>
      </c>
    </row>
    <row r="103" spans="1:8" ht="16.5" hidden="1">
      <c r="A103" s="49" t="s">
        <v>102</v>
      </c>
      <c r="B103" s="6">
        <v>10</v>
      </c>
      <c r="C103" s="20">
        <f>B103/31</f>
        <v>0.3225806451612903</v>
      </c>
      <c r="D103" s="55">
        <f>B103/((336529+337128)/2)*1000</f>
        <v>0.02968869914511391</v>
      </c>
      <c r="E103" s="34">
        <v>18</v>
      </c>
      <c r="F103" s="34">
        <v>0</v>
      </c>
      <c r="G103" s="34">
        <v>1</v>
      </c>
      <c r="H103" s="21">
        <v>305</v>
      </c>
    </row>
    <row r="104" spans="1:8" ht="16.5" hidden="1">
      <c r="A104" s="49" t="s">
        <v>85</v>
      </c>
      <c r="B104" s="6">
        <v>8</v>
      </c>
      <c r="C104" s="20">
        <f>B104/31</f>
        <v>0.25806451612903225</v>
      </c>
      <c r="D104" s="55">
        <f>B104/((337128+337693)/2)*1000</f>
        <v>0.023709991242121985</v>
      </c>
      <c r="E104" s="34">
        <v>1</v>
      </c>
      <c r="F104" s="34">
        <v>1</v>
      </c>
      <c r="G104" s="34">
        <v>0</v>
      </c>
      <c r="H104" s="21">
        <v>430</v>
      </c>
    </row>
    <row r="105" spans="1:8" ht="16.5" hidden="1">
      <c r="A105" s="49" t="s">
        <v>86</v>
      </c>
      <c r="B105" s="6">
        <v>14</v>
      </c>
      <c r="C105" s="20">
        <f>B105/30</f>
        <v>0.4666666666666667</v>
      </c>
      <c r="D105" s="55">
        <f>B105/((337693+338402)/2)*1000</f>
        <v>0.04141429828648341</v>
      </c>
      <c r="E105" s="34">
        <v>5</v>
      </c>
      <c r="F105" s="34">
        <v>4</v>
      </c>
      <c r="G105" s="34">
        <v>7</v>
      </c>
      <c r="H105" s="21">
        <v>7780</v>
      </c>
    </row>
    <row r="106" spans="1:8" ht="16.5" hidden="1">
      <c r="A106" s="49" t="s">
        <v>87</v>
      </c>
      <c r="B106" s="6">
        <v>14</v>
      </c>
      <c r="C106" s="20">
        <f>B106/31</f>
        <v>0.45161290322580644</v>
      </c>
      <c r="D106" s="55">
        <f>B106/((338402+338671)/2)*1000</f>
        <v>0.04135447728679183</v>
      </c>
      <c r="E106" s="34">
        <v>13</v>
      </c>
      <c r="F106" s="34">
        <v>0</v>
      </c>
      <c r="G106" s="34">
        <v>6</v>
      </c>
      <c r="H106" s="21">
        <v>3545</v>
      </c>
    </row>
    <row r="107" spans="1:8" ht="16.5" hidden="1">
      <c r="A107" s="49" t="s">
        <v>88</v>
      </c>
      <c r="B107" s="6">
        <v>13</v>
      </c>
      <c r="C107" s="20">
        <f>B107/30</f>
        <v>0.43333333333333335</v>
      </c>
      <c r="D107" s="55">
        <f>B107/((338671+339196)/2)*1000</f>
        <v>0.03835560663079926</v>
      </c>
      <c r="E107" s="34">
        <v>3</v>
      </c>
      <c r="F107" s="34">
        <v>0</v>
      </c>
      <c r="G107" s="34">
        <v>1</v>
      </c>
      <c r="H107" s="21">
        <v>2168</v>
      </c>
    </row>
    <row r="108" spans="1:8" ht="16.5" hidden="1">
      <c r="A108" s="49" t="s">
        <v>89</v>
      </c>
      <c r="B108" s="6">
        <v>22</v>
      </c>
      <c r="C108" s="20">
        <f>B108/31</f>
        <v>0.7096774193548387</v>
      </c>
      <c r="D108" s="55">
        <f>B108/((339196+339730)/2)*1000</f>
        <v>0.06480824125162388</v>
      </c>
      <c r="E108" s="34">
        <v>3</v>
      </c>
      <c r="F108" s="34">
        <v>1</v>
      </c>
      <c r="G108" s="34">
        <v>8</v>
      </c>
      <c r="H108" s="21">
        <v>1310</v>
      </c>
    </row>
    <row r="109" spans="1:8" ht="16.5" hidden="1">
      <c r="A109" s="27" t="s">
        <v>104</v>
      </c>
      <c r="B109" s="28">
        <f>SUM(B110:B121)</f>
        <v>175</v>
      </c>
      <c r="C109" s="36">
        <f>B109/365</f>
        <v>0.4794520547945205</v>
      </c>
      <c r="D109" s="36">
        <f>B109/347392*1000</f>
        <v>0.5037536845983788</v>
      </c>
      <c r="E109" s="54">
        <f>SUM(E110:E121)</f>
        <v>30</v>
      </c>
      <c r="F109" s="54">
        <f>SUM(F110:F121)</f>
        <v>33</v>
      </c>
      <c r="G109" s="54">
        <f>SUM(G110:G121)</f>
        <v>63</v>
      </c>
      <c r="H109" s="32">
        <f>SUM(H110:H121)</f>
        <v>48827</v>
      </c>
    </row>
    <row r="110" spans="1:8" ht="16.5" hidden="1">
      <c r="A110" s="49" t="s">
        <v>103</v>
      </c>
      <c r="B110" s="6">
        <v>20</v>
      </c>
      <c r="C110" s="20">
        <f>B110/31</f>
        <v>0.6451612903225806</v>
      </c>
      <c r="D110" s="55">
        <f>B110/((339730+340317)/2)*1000</f>
        <v>0.0588194639488153</v>
      </c>
      <c r="E110" s="34">
        <v>2</v>
      </c>
      <c r="F110" s="34">
        <v>1</v>
      </c>
      <c r="G110" s="34">
        <v>5</v>
      </c>
      <c r="H110" s="21">
        <v>1200</v>
      </c>
    </row>
    <row r="111" spans="1:8" ht="16.5" hidden="1">
      <c r="A111" s="49" t="s">
        <v>105</v>
      </c>
      <c r="B111" s="6">
        <v>16</v>
      </c>
      <c r="C111" s="20">
        <f>B111/28</f>
        <v>0.5714285714285714</v>
      </c>
      <c r="D111" s="55">
        <f>B111/((340317+340748)/2)*1000</f>
        <v>0.04698523635776321</v>
      </c>
      <c r="E111" s="34">
        <v>6</v>
      </c>
      <c r="F111" s="34">
        <v>4</v>
      </c>
      <c r="G111" s="34">
        <v>7</v>
      </c>
      <c r="H111" s="21">
        <v>13551</v>
      </c>
    </row>
    <row r="112" spans="1:8" ht="16.5" hidden="1">
      <c r="A112" s="49" t="s">
        <v>106</v>
      </c>
      <c r="B112" s="6">
        <v>24</v>
      </c>
      <c r="C112" s="20">
        <f>B112/31</f>
        <v>0.7741935483870968</v>
      </c>
      <c r="D112" s="55">
        <f>B112/((341495+340748)/2)*1000</f>
        <v>0.07035616341977859</v>
      </c>
      <c r="E112" s="34">
        <v>6</v>
      </c>
      <c r="F112" s="34">
        <v>0</v>
      </c>
      <c r="G112" s="34">
        <v>2</v>
      </c>
      <c r="H112" s="21">
        <v>2228</v>
      </c>
    </row>
    <row r="113" spans="1:8" ht="16.5" hidden="1">
      <c r="A113" s="49" t="s">
        <v>107</v>
      </c>
      <c r="B113" s="6">
        <v>18</v>
      </c>
      <c r="C113" s="20">
        <v>0.6</v>
      </c>
      <c r="D113" s="55">
        <v>0.05</v>
      </c>
      <c r="E113" s="34">
        <v>3</v>
      </c>
      <c r="F113" s="34" t="s">
        <v>108</v>
      </c>
      <c r="G113" s="34">
        <v>4</v>
      </c>
      <c r="H113" s="21">
        <v>590</v>
      </c>
    </row>
    <row r="114" spans="1:8" ht="16.5" hidden="1">
      <c r="A114" s="49" t="s">
        <v>109</v>
      </c>
      <c r="B114" s="6">
        <v>16</v>
      </c>
      <c r="C114" s="20">
        <v>0.52</v>
      </c>
      <c r="D114" s="55">
        <v>0.047</v>
      </c>
      <c r="E114" s="34">
        <v>3</v>
      </c>
      <c r="F114" s="34">
        <v>11</v>
      </c>
      <c r="G114" s="34">
        <v>10</v>
      </c>
      <c r="H114" s="21">
        <v>11312</v>
      </c>
    </row>
    <row r="115" spans="1:8" ht="16.5" hidden="1">
      <c r="A115" s="49" t="s">
        <v>110</v>
      </c>
      <c r="B115" s="6">
        <v>13</v>
      </c>
      <c r="C115" s="20">
        <f>13/30</f>
        <v>0.43333333333333335</v>
      </c>
      <c r="D115" s="55">
        <f>(13/344060)*1000</f>
        <v>0.037784107423123874</v>
      </c>
      <c r="E115" s="34">
        <v>0</v>
      </c>
      <c r="F115" s="34">
        <v>0</v>
      </c>
      <c r="G115" s="34">
        <v>0</v>
      </c>
      <c r="H115" s="21">
        <v>919</v>
      </c>
    </row>
    <row r="116" spans="1:8" ht="16.5" hidden="1">
      <c r="A116" s="49" t="s">
        <v>111</v>
      </c>
      <c r="B116" s="6">
        <v>18</v>
      </c>
      <c r="C116" s="20">
        <v>0.58</v>
      </c>
      <c r="D116" s="55">
        <f>(B116/344667)*1000</f>
        <v>0.0522243208662274</v>
      </c>
      <c r="E116" s="34">
        <v>2</v>
      </c>
      <c r="F116" s="34">
        <v>0</v>
      </c>
      <c r="G116" s="34">
        <v>25</v>
      </c>
      <c r="H116" s="21">
        <v>10790</v>
      </c>
    </row>
    <row r="117" spans="1:8" ht="16.5" hidden="1">
      <c r="A117" s="49" t="s">
        <v>112</v>
      </c>
      <c r="B117" s="6">
        <v>10</v>
      </c>
      <c r="C117" s="20">
        <v>0.32</v>
      </c>
      <c r="D117" s="55">
        <f>(B117/345291)*1000</f>
        <v>0.028961079205655518</v>
      </c>
      <c r="E117" s="34">
        <v>2</v>
      </c>
      <c r="F117" s="34">
        <v>2</v>
      </c>
      <c r="G117" s="34">
        <v>0</v>
      </c>
      <c r="H117" s="21">
        <v>1980</v>
      </c>
    </row>
    <row r="118" spans="1:8" ht="16.5" hidden="1">
      <c r="A118" s="49" t="s">
        <v>113</v>
      </c>
      <c r="B118" s="6">
        <v>6</v>
      </c>
      <c r="C118" s="20">
        <v>0.2</v>
      </c>
      <c r="D118" s="55">
        <f>(B118/346207)*1000</f>
        <v>0.01733067211234897</v>
      </c>
      <c r="E118" s="34">
        <v>1</v>
      </c>
      <c r="F118" s="34">
        <v>0</v>
      </c>
      <c r="G118" s="34">
        <v>1</v>
      </c>
      <c r="H118" s="21">
        <v>438</v>
      </c>
    </row>
    <row r="119" spans="1:8" ht="16.5" hidden="1">
      <c r="A119" s="49" t="s">
        <v>114</v>
      </c>
      <c r="B119" s="6">
        <v>10</v>
      </c>
      <c r="C119" s="20">
        <v>0.33</v>
      </c>
      <c r="D119" s="55">
        <v>0.028</v>
      </c>
      <c r="E119" s="34">
        <v>0</v>
      </c>
      <c r="F119" s="34">
        <v>0</v>
      </c>
      <c r="G119" s="34">
        <v>1</v>
      </c>
      <c r="H119" s="21">
        <v>1100</v>
      </c>
    </row>
    <row r="120" spans="1:8" ht="16.5" hidden="1">
      <c r="A120" s="49" t="s">
        <v>115</v>
      </c>
      <c r="B120" s="6">
        <v>9</v>
      </c>
      <c r="C120" s="20">
        <v>0.03</v>
      </c>
      <c r="D120" s="55">
        <f>(B120/347042)*1000</f>
        <v>0.025933460503339653</v>
      </c>
      <c r="E120" s="34">
        <v>1</v>
      </c>
      <c r="F120" s="34">
        <v>0</v>
      </c>
      <c r="G120" s="34">
        <v>3</v>
      </c>
      <c r="H120" s="21">
        <v>3325</v>
      </c>
    </row>
    <row r="121" spans="1:8" ht="16.5" hidden="1">
      <c r="A121" s="49" t="s">
        <v>116</v>
      </c>
      <c r="B121" s="6">
        <v>15</v>
      </c>
      <c r="C121" s="20">
        <v>0.48</v>
      </c>
      <c r="D121" s="55">
        <f>(B121/347392)*1000</f>
        <v>0.043178887251289606</v>
      </c>
      <c r="E121" s="34">
        <v>4</v>
      </c>
      <c r="F121" s="34">
        <v>15</v>
      </c>
      <c r="G121" s="34">
        <v>5</v>
      </c>
      <c r="H121" s="21">
        <v>1394</v>
      </c>
    </row>
    <row r="122" spans="1:8" ht="16.5">
      <c r="A122" s="27" t="s">
        <v>117</v>
      </c>
      <c r="B122" s="28">
        <f>SUM(B123:B134)</f>
        <v>155</v>
      </c>
      <c r="C122" s="36">
        <f>B122/365</f>
        <v>0.4246575342465753</v>
      </c>
      <c r="D122" s="36">
        <f>B122/353682*1000</f>
        <v>0.43824678666146427</v>
      </c>
      <c r="E122" s="54">
        <f>SUM(E123:E134)</f>
        <v>43</v>
      </c>
      <c r="F122" s="54">
        <f>SUM(F123:F134)</f>
        <v>14</v>
      </c>
      <c r="G122" s="54">
        <f>SUM(G123:G134)</f>
        <v>38</v>
      </c>
      <c r="H122" s="32">
        <f>SUM(H123:H134)</f>
        <v>24198</v>
      </c>
    </row>
    <row r="123" spans="1:8" ht="16.5" hidden="1">
      <c r="A123" s="49" t="s">
        <v>103</v>
      </c>
      <c r="B123" s="6">
        <v>12</v>
      </c>
      <c r="C123" s="20">
        <v>0.39</v>
      </c>
      <c r="D123" s="55">
        <v>0.034</v>
      </c>
      <c r="E123" s="34">
        <v>8</v>
      </c>
      <c r="F123" s="34">
        <v>0</v>
      </c>
      <c r="G123" s="34">
        <v>8</v>
      </c>
      <c r="H123" s="21">
        <v>1895</v>
      </c>
    </row>
    <row r="124" spans="1:8" ht="16.5" hidden="1">
      <c r="A124" s="49" t="s">
        <v>118</v>
      </c>
      <c r="B124" s="6">
        <v>11</v>
      </c>
      <c r="C124" s="20">
        <v>0.392</v>
      </c>
      <c r="D124" s="55">
        <v>0.03</v>
      </c>
      <c r="E124" s="34">
        <v>4</v>
      </c>
      <c r="F124" s="34">
        <v>2</v>
      </c>
      <c r="G124" s="34">
        <v>4</v>
      </c>
      <c r="H124" s="21">
        <v>2520</v>
      </c>
    </row>
    <row r="125" spans="1:8" ht="16.5" hidden="1">
      <c r="A125" s="49" t="s">
        <v>119</v>
      </c>
      <c r="B125" s="6">
        <v>10</v>
      </c>
      <c r="C125" s="20">
        <v>0.322</v>
      </c>
      <c r="D125" s="55">
        <v>0.0286</v>
      </c>
      <c r="E125" s="34">
        <v>2</v>
      </c>
      <c r="F125" s="34">
        <v>6</v>
      </c>
      <c r="G125" s="34">
        <v>4</v>
      </c>
      <c r="H125" s="21">
        <v>1095</v>
      </c>
    </row>
    <row r="126" spans="1:8" ht="16.5" hidden="1">
      <c r="A126" s="49" t="s">
        <v>120</v>
      </c>
      <c r="B126" s="6">
        <v>18</v>
      </c>
      <c r="C126" s="20">
        <v>0.6</v>
      </c>
      <c r="D126" s="55">
        <v>0.0515</v>
      </c>
      <c r="E126" s="34">
        <v>0</v>
      </c>
      <c r="F126" s="34">
        <v>0</v>
      </c>
      <c r="G126" s="34">
        <v>8</v>
      </c>
      <c r="H126" s="21">
        <v>2210</v>
      </c>
    </row>
    <row r="127" spans="1:8" ht="16.5" hidden="1">
      <c r="A127" s="49" t="s">
        <v>121</v>
      </c>
      <c r="B127" s="6">
        <v>13</v>
      </c>
      <c r="C127" s="20">
        <v>0.58</v>
      </c>
      <c r="D127" s="55">
        <v>0.037</v>
      </c>
      <c r="E127" s="34">
        <v>5</v>
      </c>
      <c r="F127" s="34">
        <v>0</v>
      </c>
      <c r="G127" s="34">
        <v>0</v>
      </c>
      <c r="H127" s="21">
        <v>712</v>
      </c>
    </row>
    <row r="128" spans="1:8" ht="16.5" hidden="1">
      <c r="A128" s="49" t="s">
        <v>122</v>
      </c>
      <c r="B128" s="6">
        <v>19</v>
      </c>
      <c r="C128" s="20">
        <v>0.633</v>
      </c>
      <c r="D128" s="55">
        <v>0.054</v>
      </c>
      <c r="E128" s="34">
        <v>3</v>
      </c>
      <c r="F128" s="34">
        <v>0</v>
      </c>
      <c r="G128" s="34">
        <v>0</v>
      </c>
      <c r="H128" s="21">
        <v>698</v>
      </c>
    </row>
    <row r="129" spans="1:8" ht="16.5" hidden="1">
      <c r="A129" s="49" t="s">
        <v>123</v>
      </c>
      <c r="B129" s="6">
        <v>8</v>
      </c>
      <c r="C129" s="20">
        <v>0.258</v>
      </c>
      <c r="D129" s="55">
        <v>0.022</v>
      </c>
      <c r="E129" s="34">
        <v>1</v>
      </c>
      <c r="F129" s="34">
        <v>0</v>
      </c>
      <c r="G129" s="34">
        <v>1</v>
      </c>
      <c r="H129" s="21">
        <v>852</v>
      </c>
    </row>
    <row r="130" spans="1:8" ht="16.5" hidden="1">
      <c r="A130" s="49" t="s">
        <v>124</v>
      </c>
      <c r="B130" s="6">
        <v>12</v>
      </c>
      <c r="C130" s="20">
        <v>0.387</v>
      </c>
      <c r="D130" s="55">
        <v>0.03</v>
      </c>
      <c r="E130" s="34">
        <v>1</v>
      </c>
      <c r="F130" s="34">
        <v>0</v>
      </c>
      <c r="G130" s="34">
        <v>1</v>
      </c>
      <c r="H130" s="21">
        <v>5720</v>
      </c>
    </row>
    <row r="131" spans="1:8" ht="16.5" hidden="1">
      <c r="A131" s="49" t="s">
        <v>125</v>
      </c>
      <c r="B131" s="6">
        <v>9</v>
      </c>
      <c r="C131" s="20">
        <v>0.3</v>
      </c>
      <c r="D131" s="55">
        <v>0.025</v>
      </c>
      <c r="E131" s="34">
        <v>1</v>
      </c>
      <c r="F131" s="34">
        <v>0</v>
      </c>
      <c r="G131" s="34">
        <v>1</v>
      </c>
      <c r="H131" s="21">
        <v>250</v>
      </c>
    </row>
    <row r="132" spans="1:8" ht="16.5" hidden="1">
      <c r="A132" s="49" t="s">
        <v>126</v>
      </c>
      <c r="B132" s="6">
        <v>11</v>
      </c>
      <c r="C132" s="20">
        <v>0.354</v>
      </c>
      <c r="D132" s="55">
        <v>0.031</v>
      </c>
      <c r="E132" s="34">
        <v>9</v>
      </c>
      <c r="F132" s="34">
        <v>0</v>
      </c>
      <c r="G132" s="34">
        <v>3</v>
      </c>
      <c r="H132" s="21">
        <v>3620</v>
      </c>
    </row>
    <row r="133" spans="1:8" ht="16.5" hidden="1">
      <c r="A133" s="49" t="s">
        <v>127</v>
      </c>
      <c r="B133" s="6">
        <v>11</v>
      </c>
      <c r="C133" s="20">
        <v>0.354</v>
      </c>
      <c r="D133" s="55">
        <v>0.031</v>
      </c>
      <c r="E133" s="34">
        <v>4</v>
      </c>
      <c r="F133" s="34">
        <v>1</v>
      </c>
      <c r="G133" s="34">
        <v>1</v>
      </c>
      <c r="H133" s="21">
        <v>1511</v>
      </c>
    </row>
    <row r="134" spans="1:8" ht="16.5" hidden="1">
      <c r="A134" s="49" t="s">
        <v>128</v>
      </c>
      <c r="B134" s="6">
        <v>21</v>
      </c>
      <c r="C134" s="20">
        <v>1.476</v>
      </c>
      <c r="D134" s="55">
        <v>0.059</v>
      </c>
      <c r="E134" s="34">
        <v>5</v>
      </c>
      <c r="F134" s="34">
        <v>5</v>
      </c>
      <c r="G134" s="34">
        <v>7</v>
      </c>
      <c r="H134" s="21">
        <v>3115</v>
      </c>
    </row>
    <row r="135" spans="1:8" ht="16.5">
      <c r="A135" s="27" t="s">
        <v>130</v>
      </c>
      <c r="B135" s="28">
        <f>SUM(B136:B147)</f>
        <v>150</v>
      </c>
      <c r="C135" s="36">
        <f>B135/365</f>
        <v>0.410958904109589</v>
      </c>
      <c r="D135" s="36">
        <f>B135/361503*1000</f>
        <v>0.4149343158977934</v>
      </c>
      <c r="E135" s="54">
        <f>SUM(E136:E147)</f>
        <v>48</v>
      </c>
      <c r="F135" s="54">
        <v>1</v>
      </c>
      <c r="G135" s="54">
        <f>SUM(G136:G147)</f>
        <v>19</v>
      </c>
      <c r="H135" s="57">
        <f>SUM(H136:H147)</f>
        <v>16082</v>
      </c>
    </row>
    <row r="136" spans="1:8" ht="16.5" hidden="1">
      <c r="A136" s="49" t="s">
        <v>129</v>
      </c>
      <c r="B136" s="6">
        <v>10</v>
      </c>
      <c r="C136" s="20">
        <v>0.32</v>
      </c>
      <c r="D136" s="55">
        <v>0.028</v>
      </c>
      <c r="E136" s="34">
        <v>3</v>
      </c>
      <c r="F136" s="34">
        <v>0</v>
      </c>
      <c r="G136" s="34">
        <v>0</v>
      </c>
      <c r="H136" s="21">
        <v>20</v>
      </c>
    </row>
    <row r="137" spans="1:8" ht="16.5" hidden="1">
      <c r="A137" s="49" t="s">
        <v>118</v>
      </c>
      <c r="B137" s="6">
        <v>11</v>
      </c>
      <c r="C137" s="20">
        <v>0.39</v>
      </c>
      <c r="D137" s="55">
        <v>0.031</v>
      </c>
      <c r="E137" s="34">
        <v>10</v>
      </c>
      <c r="F137" s="34">
        <v>1</v>
      </c>
      <c r="G137" s="34">
        <v>6</v>
      </c>
      <c r="H137" s="21">
        <v>3685</v>
      </c>
    </row>
    <row r="138" spans="1:8" ht="16.5" hidden="1">
      <c r="A138" s="49" t="s">
        <v>119</v>
      </c>
      <c r="B138" s="6">
        <v>15</v>
      </c>
      <c r="C138" s="20">
        <v>0.48</v>
      </c>
      <c r="D138" s="55">
        <v>0.04</v>
      </c>
      <c r="E138" s="34">
        <v>10</v>
      </c>
      <c r="F138" s="34">
        <v>0</v>
      </c>
      <c r="G138" s="34">
        <v>0</v>
      </c>
      <c r="H138" s="21">
        <v>1511</v>
      </c>
    </row>
    <row r="139" spans="1:8" ht="16.5" hidden="1">
      <c r="A139" s="49" t="s">
        <v>120</v>
      </c>
      <c r="B139" s="6">
        <v>9</v>
      </c>
      <c r="C139" s="20">
        <v>0.3</v>
      </c>
      <c r="D139" s="55">
        <v>0.025</v>
      </c>
      <c r="E139" s="34">
        <v>5</v>
      </c>
      <c r="F139" s="34">
        <v>0</v>
      </c>
      <c r="G139" s="34">
        <v>3</v>
      </c>
      <c r="H139" s="21">
        <v>1140</v>
      </c>
    </row>
    <row r="140" spans="1:8" ht="16.5" hidden="1">
      <c r="A140" s="49" t="s">
        <v>121</v>
      </c>
      <c r="B140" s="6">
        <v>10</v>
      </c>
      <c r="C140" s="20">
        <v>0.32</v>
      </c>
      <c r="D140" s="55">
        <v>0.028</v>
      </c>
      <c r="E140" s="34">
        <v>0</v>
      </c>
      <c r="F140" s="34">
        <v>0</v>
      </c>
      <c r="G140" s="34">
        <v>0</v>
      </c>
      <c r="H140" s="21">
        <v>1060</v>
      </c>
    </row>
    <row r="141" spans="1:8" ht="16.5" hidden="1">
      <c r="A141" s="49" t="s">
        <v>122</v>
      </c>
      <c r="B141" s="6">
        <v>18</v>
      </c>
      <c r="C141" s="20">
        <v>0.6</v>
      </c>
      <c r="D141" s="55">
        <v>0.05</v>
      </c>
      <c r="E141" s="34">
        <v>1</v>
      </c>
      <c r="F141" s="34">
        <v>0</v>
      </c>
      <c r="G141" s="34">
        <v>0</v>
      </c>
      <c r="H141" s="21">
        <v>520</v>
      </c>
    </row>
    <row r="142" spans="1:8" ht="16.5" hidden="1">
      <c r="A142" s="49" t="s">
        <v>123</v>
      </c>
      <c r="B142" s="6">
        <v>9</v>
      </c>
      <c r="C142" s="20">
        <v>0.29</v>
      </c>
      <c r="D142" s="55">
        <v>0.025</v>
      </c>
      <c r="E142" s="34">
        <v>3</v>
      </c>
      <c r="F142" s="34">
        <v>0</v>
      </c>
      <c r="G142" s="34">
        <v>2</v>
      </c>
      <c r="H142" s="21">
        <v>1915</v>
      </c>
    </row>
    <row r="143" spans="1:8" ht="16.5" hidden="1">
      <c r="A143" s="49" t="s">
        <v>124</v>
      </c>
      <c r="B143" s="6">
        <v>11</v>
      </c>
      <c r="C143" s="20">
        <v>0.35</v>
      </c>
      <c r="D143" s="55">
        <v>0.03</v>
      </c>
      <c r="E143" s="34">
        <v>5</v>
      </c>
      <c r="F143" s="34">
        <v>0</v>
      </c>
      <c r="G143" s="34">
        <v>4</v>
      </c>
      <c r="H143" s="21">
        <v>1003</v>
      </c>
    </row>
    <row r="144" spans="1:8" ht="16.5" hidden="1">
      <c r="A144" s="49" t="s">
        <v>125</v>
      </c>
      <c r="B144" s="6">
        <v>15</v>
      </c>
      <c r="C144" s="20">
        <v>0.5</v>
      </c>
      <c r="D144" s="55">
        <v>0.1</v>
      </c>
      <c r="E144" s="34">
        <v>2</v>
      </c>
      <c r="F144" s="34">
        <v>0</v>
      </c>
      <c r="G144" s="34">
        <v>3</v>
      </c>
      <c r="H144" s="21">
        <v>1713</v>
      </c>
    </row>
    <row r="145" spans="1:8" ht="16.5" hidden="1">
      <c r="A145" s="49" t="s">
        <v>126</v>
      </c>
      <c r="B145" s="6">
        <v>10</v>
      </c>
      <c r="C145" s="20">
        <v>0.32</v>
      </c>
      <c r="D145" s="55">
        <v>0.03</v>
      </c>
      <c r="E145" s="34">
        <v>0</v>
      </c>
      <c r="F145" s="34">
        <v>0</v>
      </c>
      <c r="G145" s="34">
        <v>0</v>
      </c>
      <c r="H145" s="21">
        <v>950</v>
      </c>
    </row>
    <row r="146" spans="1:8" ht="16.5" hidden="1">
      <c r="A146" s="49" t="s">
        <v>127</v>
      </c>
      <c r="B146" s="6">
        <v>14</v>
      </c>
      <c r="C146" s="20">
        <v>0.466</v>
      </c>
      <c r="D146" s="55">
        <v>0.038</v>
      </c>
      <c r="E146" s="34">
        <v>0</v>
      </c>
      <c r="F146" s="34">
        <v>0</v>
      </c>
      <c r="G146" s="34">
        <v>1</v>
      </c>
      <c r="H146" s="21">
        <v>225</v>
      </c>
    </row>
    <row r="147" spans="1:8" ht="16.5" hidden="1">
      <c r="A147" s="49" t="s">
        <v>128</v>
      </c>
      <c r="B147" s="6">
        <v>18</v>
      </c>
      <c r="C147" s="20">
        <v>0.58</v>
      </c>
      <c r="D147" s="55">
        <v>0.049</v>
      </c>
      <c r="E147" s="34">
        <v>9</v>
      </c>
      <c r="F147" s="34">
        <v>0</v>
      </c>
      <c r="G147" s="34">
        <v>0</v>
      </c>
      <c r="H147" s="21">
        <v>2340</v>
      </c>
    </row>
    <row r="148" spans="1:10" ht="16.5">
      <c r="A148" s="27" t="s">
        <v>131</v>
      </c>
      <c r="B148" s="28">
        <f>SUM(B149:B160)</f>
        <v>120</v>
      </c>
      <c r="C148" s="36">
        <v>0.33</v>
      </c>
      <c r="D148" s="36">
        <f>B148/369363*1000</f>
        <v>0.3248836510424704</v>
      </c>
      <c r="E148" s="54">
        <f aca="true" t="shared" si="3" ref="E148:J148">SUM(E149:E160)</f>
        <v>34</v>
      </c>
      <c r="F148" s="54">
        <f t="shared" si="3"/>
        <v>8</v>
      </c>
      <c r="G148" s="54">
        <f t="shared" si="3"/>
        <v>12</v>
      </c>
      <c r="H148" s="57">
        <f t="shared" si="3"/>
        <v>18988</v>
      </c>
      <c r="I148" s="60">
        <f t="shared" si="3"/>
        <v>0</v>
      </c>
      <c r="J148" s="54">
        <f t="shared" si="3"/>
        <v>0</v>
      </c>
    </row>
    <row r="149" spans="1:8" ht="16.5" hidden="1">
      <c r="A149" s="49" t="s">
        <v>129</v>
      </c>
      <c r="B149" s="6">
        <v>9</v>
      </c>
      <c r="C149" s="20">
        <v>0.29</v>
      </c>
      <c r="D149" s="55">
        <v>0.02</v>
      </c>
      <c r="E149" s="34">
        <v>2</v>
      </c>
      <c r="F149" s="34">
        <v>0</v>
      </c>
      <c r="G149" s="34">
        <v>1</v>
      </c>
      <c r="H149" s="21">
        <v>635</v>
      </c>
    </row>
    <row r="150" spans="1:8" ht="16.5" hidden="1">
      <c r="A150" s="49" t="s">
        <v>118</v>
      </c>
      <c r="B150" s="6">
        <v>11</v>
      </c>
      <c r="C150" s="20">
        <v>0.38</v>
      </c>
      <c r="D150" s="55">
        <v>0.03</v>
      </c>
      <c r="E150" s="34">
        <v>2</v>
      </c>
      <c r="F150" s="34">
        <v>0</v>
      </c>
      <c r="G150" s="34">
        <v>0</v>
      </c>
      <c r="H150" s="21">
        <v>1385</v>
      </c>
    </row>
    <row r="151" spans="1:8" ht="16.5" hidden="1">
      <c r="A151" s="49" t="s">
        <v>119</v>
      </c>
      <c r="B151" s="6">
        <v>10</v>
      </c>
      <c r="C151" s="20">
        <v>0.32</v>
      </c>
      <c r="D151" s="55">
        <v>0.03</v>
      </c>
      <c r="E151" s="34">
        <v>2</v>
      </c>
      <c r="F151" s="34">
        <v>0</v>
      </c>
      <c r="G151" s="34">
        <v>1</v>
      </c>
      <c r="H151" s="21">
        <v>967</v>
      </c>
    </row>
    <row r="152" spans="1:8" ht="16.5" hidden="1">
      <c r="A152" s="49" t="s">
        <v>120</v>
      </c>
      <c r="B152" s="6">
        <v>7</v>
      </c>
      <c r="C152" s="20">
        <v>0.23</v>
      </c>
      <c r="D152" s="55">
        <v>0.02</v>
      </c>
      <c r="E152" s="34">
        <v>1</v>
      </c>
      <c r="F152" s="34">
        <v>0</v>
      </c>
      <c r="G152" s="34">
        <v>1</v>
      </c>
      <c r="H152" s="21">
        <v>1095</v>
      </c>
    </row>
    <row r="153" spans="1:8" ht="16.5" hidden="1">
      <c r="A153" s="49" t="s">
        <v>121</v>
      </c>
      <c r="B153" s="6">
        <v>10</v>
      </c>
      <c r="C153" s="20">
        <v>0.32</v>
      </c>
      <c r="D153" s="55">
        <v>0.03</v>
      </c>
      <c r="E153" s="34">
        <v>0</v>
      </c>
      <c r="F153" s="34">
        <v>1</v>
      </c>
      <c r="G153" s="34">
        <v>0</v>
      </c>
      <c r="H153" s="21">
        <v>1405</v>
      </c>
    </row>
    <row r="154" spans="1:8" ht="16.5" hidden="1">
      <c r="A154" s="49" t="s">
        <v>122</v>
      </c>
      <c r="B154" s="6">
        <v>13</v>
      </c>
      <c r="C154" s="20">
        <v>0.43</v>
      </c>
      <c r="D154" s="55">
        <v>0.04</v>
      </c>
      <c r="E154" s="34">
        <v>0</v>
      </c>
      <c r="F154" s="34">
        <v>0</v>
      </c>
      <c r="G154" s="34">
        <v>2</v>
      </c>
      <c r="H154" s="21">
        <v>420</v>
      </c>
    </row>
    <row r="155" spans="1:8" ht="16.5" hidden="1">
      <c r="A155" s="49" t="s">
        <v>123</v>
      </c>
      <c r="B155" s="6">
        <v>7</v>
      </c>
      <c r="C155" s="20">
        <v>0.23</v>
      </c>
      <c r="D155" s="55">
        <v>0.02</v>
      </c>
      <c r="E155" s="34">
        <v>0</v>
      </c>
      <c r="F155" s="34">
        <v>0</v>
      </c>
      <c r="G155" s="34">
        <v>1</v>
      </c>
      <c r="H155" s="21">
        <v>1380</v>
      </c>
    </row>
    <row r="156" spans="1:8" ht="16.5" hidden="1">
      <c r="A156" s="49" t="s">
        <v>124</v>
      </c>
      <c r="B156" s="6">
        <v>9</v>
      </c>
      <c r="C156" s="20">
        <v>0.29</v>
      </c>
      <c r="D156" s="55">
        <v>0.02</v>
      </c>
      <c r="E156" s="34">
        <v>14</v>
      </c>
      <c r="F156" s="34">
        <v>1</v>
      </c>
      <c r="G156" s="34">
        <v>0</v>
      </c>
      <c r="H156" s="21">
        <v>7150</v>
      </c>
    </row>
    <row r="157" spans="1:8" ht="16.5" hidden="1">
      <c r="A157" s="49" t="s">
        <v>125</v>
      </c>
      <c r="B157" s="6">
        <v>12</v>
      </c>
      <c r="C157" s="20">
        <v>0.4</v>
      </c>
      <c r="D157" s="55">
        <v>0.03</v>
      </c>
      <c r="E157" s="34">
        <v>7</v>
      </c>
      <c r="F157" s="34">
        <v>3</v>
      </c>
      <c r="G157" s="34">
        <v>2</v>
      </c>
      <c r="H157" s="21">
        <v>1060</v>
      </c>
    </row>
    <row r="158" spans="1:8" ht="16.5" hidden="1">
      <c r="A158" s="49" t="s">
        <v>126</v>
      </c>
      <c r="B158" s="6">
        <v>7</v>
      </c>
      <c r="C158" s="20">
        <v>0.23</v>
      </c>
      <c r="D158" s="55">
        <v>0.02</v>
      </c>
      <c r="E158" s="34">
        <v>1</v>
      </c>
      <c r="F158" s="34">
        <v>3</v>
      </c>
      <c r="G158" s="34">
        <v>2</v>
      </c>
      <c r="H158" s="21">
        <v>313</v>
      </c>
    </row>
    <row r="159" spans="1:8" ht="16.5" hidden="1">
      <c r="A159" s="49" t="s">
        <v>127</v>
      </c>
      <c r="B159" s="6">
        <v>13</v>
      </c>
      <c r="C159" s="20">
        <v>0.43</v>
      </c>
      <c r="D159" s="55">
        <v>0.04</v>
      </c>
      <c r="E159" s="34">
        <v>3</v>
      </c>
      <c r="F159" s="34">
        <v>0</v>
      </c>
      <c r="G159" s="34">
        <v>1</v>
      </c>
      <c r="H159" s="21">
        <v>1783</v>
      </c>
    </row>
    <row r="160" spans="1:8" ht="16.5" hidden="1">
      <c r="A160" s="49" t="s">
        <v>128</v>
      </c>
      <c r="B160" s="6">
        <v>12</v>
      </c>
      <c r="C160" s="20">
        <v>0.39</v>
      </c>
      <c r="D160" s="55">
        <v>0.03</v>
      </c>
      <c r="E160" s="34">
        <v>2</v>
      </c>
      <c r="F160" s="34">
        <v>0</v>
      </c>
      <c r="G160" s="34">
        <v>1</v>
      </c>
      <c r="H160" s="21">
        <v>1395</v>
      </c>
    </row>
    <row r="161" spans="1:8" ht="16.5">
      <c r="A161" s="62" t="s">
        <v>132</v>
      </c>
      <c r="B161" s="28">
        <v>60</v>
      </c>
      <c r="C161" s="36">
        <v>0.1643835616438356</v>
      </c>
      <c r="D161" s="36">
        <v>0.16071593592255637</v>
      </c>
      <c r="E161" s="54">
        <v>7</v>
      </c>
      <c r="F161" s="54">
        <v>3</v>
      </c>
      <c r="G161" s="54">
        <v>8</v>
      </c>
      <c r="H161" s="57">
        <v>12335</v>
      </c>
    </row>
    <row r="162" spans="1:8" ht="16.5" hidden="1">
      <c r="A162" s="49" t="s">
        <v>133</v>
      </c>
      <c r="B162" s="6">
        <v>7</v>
      </c>
      <c r="C162" s="20">
        <v>0.22580645161290322</v>
      </c>
      <c r="D162" s="55">
        <v>0.02</v>
      </c>
      <c r="E162" s="34">
        <v>1</v>
      </c>
      <c r="F162" s="34">
        <v>0</v>
      </c>
      <c r="G162" s="34">
        <v>0</v>
      </c>
      <c r="H162" s="21">
        <v>1490</v>
      </c>
    </row>
    <row r="163" spans="1:8" ht="16.5" hidden="1">
      <c r="A163" s="49" t="s">
        <v>134</v>
      </c>
      <c r="B163" s="6">
        <v>4</v>
      </c>
      <c r="C163" s="20">
        <v>0.14</v>
      </c>
      <c r="D163" s="55">
        <v>0.01</v>
      </c>
      <c r="E163" s="34">
        <v>0</v>
      </c>
      <c r="F163" s="34">
        <v>0</v>
      </c>
      <c r="G163" s="34">
        <v>0</v>
      </c>
      <c r="H163" s="21">
        <v>330</v>
      </c>
    </row>
    <row r="164" spans="1:8" ht="16.5" hidden="1">
      <c r="A164" s="49" t="s">
        <v>135</v>
      </c>
      <c r="B164" s="6">
        <v>3</v>
      </c>
      <c r="C164" s="20">
        <v>0.0967741935483871</v>
      </c>
      <c r="D164" s="55">
        <v>0.008087059895461272</v>
      </c>
      <c r="E164" s="34">
        <v>0</v>
      </c>
      <c r="F164" s="34">
        <v>1</v>
      </c>
      <c r="G164" s="34">
        <v>0</v>
      </c>
      <c r="H164" s="21">
        <v>700</v>
      </c>
    </row>
    <row r="165" spans="1:8" ht="16.5" hidden="1">
      <c r="A165" s="49" t="s">
        <v>136</v>
      </c>
      <c r="B165" s="6">
        <v>5</v>
      </c>
      <c r="C165" s="20">
        <v>0.16666666666666666</v>
      </c>
      <c r="D165" s="55">
        <v>0.013450695131924418</v>
      </c>
      <c r="E165" s="34">
        <v>2</v>
      </c>
      <c r="F165" s="34">
        <v>0</v>
      </c>
      <c r="G165" s="34">
        <v>0</v>
      </c>
      <c r="H165" s="21">
        <v>760</v>
      </c>
    </row>
    <row r="166" spans="1:8" ht="16.5" hidden="1">
      <c r="A166" s="49" t="s">
        <v>109</v>
      </c>
      <c r="B166" s="6">
        <v>3</v>
      </c>
      <c r="C166" s="20">
        <v>0.0967741935483871</v>
      </c>
      <c r="D166" s="55">
        <v>0.008058775334774958</v>
      </c>
      <c r="E166" s="34">
        <v>0</v>
      </c>
      <c r="F166" s="34">
        <v>0</v>
      </c>
      <c r="G166" s="34">
        <v>1</v>
      </c>
      <c r="H166" s="21">
        <v>170</v>
      </c>
    </row>
    <row r="167" spans="1:8" ht="16.5" hidden="1">
      <c r="A167" s="49" t="s">
        <v>110</v>
      </c>
      <c r="B167" s="6">
        <v>5</v>
      </c>
      <c r="C167" s="20">
        <v>0.16666666666666666</v>
      </c>
      <c r="D167" s="55">
        <v>0.013400586409661287</v>
      </c>
      <c r="E167" s="34">
        <v>0</v>
      </c>
      <c r="F167" s="34">
        <v>0</v>
      </c>
      <c r="G167" s="34">
        <v>1</v>
      </c>
      <c r="H167" s="21">
        <v>540</v>
      </c>
    </row>
    <row r="168" spans="1:8" ht="16.5" hidden="1">
      <c r="A168" s="49" t="s">
        <v>111</v>
      </c>
      <c r="B168" s="6">
        <v>6</v>
      </c>
      <c r="C168" s="20">
        <v>0.1935483870967742</v>
      </c>
      <c r="D168" s="55">
        <v>0.01605175084472339</v>
      </c>
      <c r="E168" s="34">
        <v>1</v>
      </c>
      <c r="F168" s="34">
        <v>1</v>
      </c>
      <c r="G168" s="34">
        <v>0</v>
      </c>
      <c r="H168" s="21">
        <v>3210</v>
      </c>
    </row>
    <row r="169" spans="1:8" ht="16.5" hidden="1">
      <c r="A169" s="49" t="s">
        <v>112</v>
      </c>
      <c r="B169" s="6">
        <v>6</v>
      </c>
      <c r="C169" s="20">
        <v>0.1935483870967742</v>
      </c>
      <c r="D169" s="55">
        <v>0.01602217468977064</v>
      </c>
      <c r="E169" s="34">
        <v>0</v>
      </c>
      <c r="F169" s="34">
        <v>0</v>
      </c>
      <c r="G169" s="34">
        <v>0</v>
      </c>
      <c r="H169" s="21">
        <v>720</v>
      </c>
    </row>
    <row r="170" spans="1:8" ht="16.5" hidden="1">
      <c r="A170" s="49" t="s">
        <v>113</v>
      </c>
      <c r="B170" s="6">
        <v>7</v>
      </c>
      <c r="C170" s="20">
        <v>0.23333333333333334</v>
      </c>
      <c r="D170" s="55">
        <v>0.018651645874522383</v>
      </c>
      <c r="E170" s="34">
        <v>3</v>
      </c>
      <c r="F170" s="34">
        <v>0</v>
      </c>
      <c r="G170" s="34">
        <v>2</v>
      </c>
      <c r="H170" s="21">
        <v>615</v>
      </c>
    </row>
    <row r="171" spans="1:8" ht="16.5" hidden="1">
      <c r="A171" s="49" t="s">
        <v>137</v>
      </c>
      <c r="B171" s="6">
        <v>7</v>
      </c>
      <c r="C171" s="20">
        <v>0.22580645161290322</v>
      </c>
      <c r="D171" s="55">
        <v>0.018632829448388396</v>
      </c>
      <c r="E171" s="34">
        <v>0</v>
      </c>
      <c r="F171" s="34">
        <v>0</v>
      </c>
      <c r="G171" s="34">
        <v>0</v>
      </c>
      <c r="H171" s="21">
        <v>220</v>
      </c>
    </row>
    <row r="172" spans="1:8" ht="16.5" hidden="1">
      <c r="A172" s="49" t="s">
        <v>115</v>
      </c>
      <c r="B172" s="6">
        <v>4</v>
      </c>
      <c r="C172" s="20">
        <v>0.13333333333333333</v>
      </c>
      <c r="D172" s="55">
        <v>0.010623633867082405</v>
      </c>
      <c r="E172" s="34">
        <v>0</v>
      </c>
      <c r="F172" s="34">
        <v>0</v>
      </c>
      <c r="G172" s="34">
        <v>4</v>
      </c>
      <c r="H172" s="21">
        <v>480</v>
      </c>
    </row>
    <row r="173" spans="1:8" ht="16.5" hidden="1">
      <c r="A173" s="49" t="s">
        <v>116</v>
      </c>
      <c r="B173" s="6">
        <v>3</v>
      </c>
      <c r="C173" s="20">
        <f>B173/31</f>
        <v>0.0967741935483871</v>
      </c>
      <c r="D173" s="55">
        <v>0.007951316738051821</v>
      </c>
      <c r="E173" s="34">
        <v>0</v>
      </c>
      <c r="F173" s="34">
        <v>1</v>
      </c>
      <c r="G173" s="34">
        <v>0</v>
      </c>
      <c r="H173" s="21">
        <v>3100</v>
      </c>
    </row>
    <row r="174" spans="1:8" ht="3.75" customHeight="1">
      <c r="A174" s="49"/>
      <c r="B174" s="6"/>
      <c r="C174" s="20"/>
      <c r="D174" s="55"/>
      <c r="E174" s="34"/>
      <c r="F174" s="34"/>
      <c r="G174" s="34"/>
      <c r="H174" s="21"/>
    </row>
    <row r="175" spans="1:8" ht="16.5">
      <c r="A175" s="62" t="s">
        <v>138</v>
      </c>
      <c r="B175" s="28">
        <f>SUM(B176:B187)</f>
        <v>48</v>
      </c>
      <c r="C175" s="36">
        <f>B175/365</f>
        <v>0.13150684931506848</v>
      </c>
      <c r="D175" s="36">
        <f>B175/381043*1000</f>
        <v>0.1259700348779534</v>
      </c>
      <c r="E175" s="54">
        <f>SUM(E176:E187)</f>
        <v>8</v>
      </c>
      <c r="F175" s="54">
        <f>SUM(F176:F187)</f>
        <v>11</v>
      </c>
      <c r="G175" s="54">
        <f>SUM(G176:G187)</f>
        <v>24</v>
      </c>
      <c r="H175" s="32">
        <f>SUM(H176:H187)</f>
        <v>39985</v>
      </c>
    </row>
    <row r="176" spans="1:8" ht="16.5">
      <c r="A176" s="49" t="s">
        <v>133</v>
      </c>
      <c r="B176" s="6">
        <v>3</v>
      </c>
      <c r="C176" s="20">
        <f>B176/31</f>
        <v>0.0967741935483871</v>
      </c>
      <c r="D176" s="55">
        <v>0.00793993176951966</v>
      </c>
      <c r="E176" s="34">
        <v>0</v>
      </c>
      <c r="F176" s="34">
        <v>0</v>
      </c>
      <c r="G176" s="34">
        <v>0</v>
      </c>
      <c r="H176" s="21">
        <v>3800</v>
      </c>
    </row>
    <row r="177" spans="1:8" ht="16.5">
      <c r="A177" s="49" t="s">
        <v>139</v>
      </c>
      <c r="B177" s="6">
        <v>2</v>
      </c>
      <c r="C177" s="20">
        <f>B177/28</f>
        <v>0.07142857142857142</v>
      </c>
      <c r="D177" s="55">
        <v>0.005288417044568134</v>
      </c>
      <c r="E177" s="34">
        <v>0</v>
      </c>
      <c r="F177" s="34">
        <v>0</v>
      </c>
      <c r="G177" s="34">
        <v>1</v>
      </c>
      <c r="H177" s="21">
        <v>1800</v>
      </c>
    </row>
    <row r="178" spans="1:8" ht="16.5">
      <c r="A178" s="49" t="s">
        <v>140</v>
      </c>
      <c r="B178" s="6">
        <v>11</v>
      </c>
      <c r="C178" s="20">
        <f>B178/31</f>
        <v>0.3548387096774194</v>
      </c>
      <c r="D178" s="55">
        <v>0.03</v>
      </c>
      <c r="E178" s="34">
        <v>3</v>
      </c>
      <c r="F178" s="34">
        <v>0</v>
      </c>
      <c r="G178" s="34">
        <v>0</v>
      </c>
      <c r="H178" s="21">
        <v>1030</v>
      </c>
    </row>
    <row r="179" spans="1:8" ht="16.5">
      <c r="A179" s="49" t="s">
        <v>141</v>
      </c>
      <c r="B179" s="6">
        <v>3</v>
      </c>
      <c r="C179" s="20">
        <v>0.1</v>
      </c>
      <c r="D179" s="55">
        <v>0.00789854061297941</v>
      </c>
      <c r="E179" s="34">
        <v>0</v>
      </c>
      <c r="F179" s="34">
        <v>0</v>
      </c>
      <c r="G179" s="34">
        <v>0</v>
      </c>
      <c r="H179" s="21">
        <v>2050</v>
      </c>
    </row>
    <row r="180" spans="1:8" ht="16.5">
      <c r="A180" s="49" t="s">
        <v>142</v>
      </c>
      <c r="B180" s="6">
        <v>5</v>
      </c>
      <c r="C180" s="20">
        <v>0.16129032258064516</v>
      </c>
      <c r="D180" s="55">
        <v>0.013133028384414247</v>
      </c>
      <c r="E180" s="34">
        <v>0</v>
      </c>
      <c r="F180" s="34">
        <v>0</v>
      </c>
      <c r="G180" s="34">
        <v>6</v>
      </c>
      <c r="H180" s="21">
        <v>255</v>
      </c>
    </row>
    <row r="181" spans="1:8" ht="16.5">
      <c r="A181" s="49" t="s">
        <v>143</v>
      </c>
      <c r="B181" s="6">
        <v>6</v>
      </c>
      <c r="C181" s="20">
        <v>0.2</v>
      </c>
      <c r="D181" s="55">
        <v>0.01572996886776995</v>
      </c>
      <c r="E181" s="34">
        <v>0</v>
      </c>
      <c r="F181" s="34">
        <v>5</v>
      </c>
      <c r="G181" s="34">
        <v>7</v>
      </c>
      <c r="H181" s="21">
        <v>26480</v>
      </c>
    </row>
    <row r="182" spans="1:8" ht="16.5">
      <c r="A182" s="49" t="s">
        <v>144</v>
      </c>
      <c r="B182" s="6">
        <v>5</v>
      </c>
      <c r="C182" s="20">
        <v>0.16129032258064516</v>
      </c>
      <c r="D182" s="55">
        <v>0.013084826312015534</v>
      </c>
      <c r="E182" s="34">
        <v>4</v>
      </c>
      <c r="F182" s="34">
        <v>2</v>
      </c>
      <c r="G182" s="34">
        <v>5</v>
      </c>
      <c r="H182" s="21">
        <v>2820</v>
      </c>
    </row>
    <row r="183" spans="1:8" ht="16.5">
      <c r="A183" s="49" t="s">
        <v>145</v>
      </c>
      <c r="B183" s="6">
        <v>2</v>
      </c>
      <c r="C183" s="20">
        <v>0.06451612903225806</v>
      </c>
      <c r="D183" s="55">
        <v>0.005222279812363486</v>
      </c>
      <c r="E183" s="34">
        <v>0</v>
      </c>
      <c r="F183" s="34">
        <v>0</v>
      </c>
      <c r="G183" s="34">
        <v>1</v>
      </c>
      <c r="H183" s="21">
        <v>630</v>
      </c>
    </row>
    <row r="184" spans="1:8" ht="16.5">
      <c r="A184" s="49" t="s">
        <v>146</v>
      </c>
      <c r="B184" s="6">
        <v>1</v>
      </c>
      <c r="C184" s="20">
        <v>0.03333333333333333</v>
      </c>
      <c r="D184" s="55">
        <v>0.002605252188411838</v>
      </c>
      <c r="E184" s="34">
        <v>0</v>
      </c>
      <c r="F184" s="34">
        <v>0</v>
      </c>
      <c r="G184" s="34">
        <v>0</v>
      </c>
      <c r="H184" s="21">
        <v>20</v>
      </c>
    </row>
    <row r="185" spans="1:8" ht="16.5">
      <c r="A185" s="49" t="s">
        <v>147</v>
      </c>
      <c r="B185" s="6">
        <v>3</v>
      </c>
      <c r="C185" s="20">
        <f>3/31</f>
        <v>0.0967741935483871</v>
      </c>
      <c r="D185" s="55">
        <v>0.01</v>
      </c>
      <c r="E185" s="34">
        <v>0</v>
      </c>
      <c r="F185" s="34">
        <v>0</v>
      </c>
      <c r="G185" s="34">
        <v>0</v>
      </c>
      <c r="H185" s="21">
        <v>600</v>
      </c>
    </row>
    <row r="186" spans="1:8" ht="16.5">
      <c r="A186" s="49" t="s">
        <v>148</v>
      </c>
      <c r="B186" s="6">
        <v>4</v>
      </c>
      <c r="C186" s="20">
        <v>0.13333333333333333</v>
      </c>
      <c r="D186" s="55">
        <v>0.010394861819802472</v>
      </c>
      <c r="E186" s="34">
        <v>0</v>
      </c>
      <c r="F186" s="34">
        <v>4</v>
      </c>
      <c r="G186" s="34">
        <v>3</v>
      </c>
      <c r="H186" s="21">
        <v>150</v>
      </c>
    </row>
    <row r="187" spans="1:8" ht="16.5">
      <c r="A187" s="49" t="s">
        <v>149</v>
      </c>
      <c r="B187" s="6">
        <v>3</v>
      </c>
      <c r="C187" s="20">
        <v>0.0967741935483871</v>
      </c>
      <c r="D187" s="55">
        <v>0.007788616936347527</v>
      </c>
      <c r="E187" s="34">
        <v>1</v>
      </c>
      <c r="F187" s="34">
        <v>0</v>
      </c>
      <c r="G187" s="34">
        <v>1</v>
      </c>
      <c r="H187" s="21">
        <v>350</v>
      </c>
    </row>
    <row r="188" spans="1:10" ht="16.5" customHeight="1">
      <c r="A188" s="69" t="s">
        <v>54</v>
      </c>
      <c r="B188" s="10"/>
      <c r="C188" s="56"/>
      <c r="D188" s="14" t="s">
        <v>34</v>
      </c>
      <c r="E188" s="16"/>
      <c r="F188" s="16"/>
      <c r="G188" s="16"/>
      <c r="H188" s="19"/>
      <c r="I188" s="18"/>
      <c r="J188" s="19"/>
    </row>
    <row r="189" spans="1:11" ht="16.5">
      <c r="A189" s="70"/>
      <c r="B189" s="65">
        <v>-25</v>
      </c>
      <c r="C189" s="65">
        <v>-27.419354838709676</v>
      </c>
      <c r="D189" s="67">
        <v>-0.0026062448834549452</v>
      </c>
      <c r="E189" s="34">
        <v>0</v>
      </c>
      <c r="F189" s="65">
        <v>-100</v>
      </c>
      <c r="G189" s="65">
        <v>-66.66666666666667</v>
      </c>
      <c r="H189" s="66">
        <v>133.33333333333334</v>
      </c>
      <c r="I189" s="58" t="e">
        <f>(I155/I154-1)*100</f>
        <v>#DIV/0!</v>
      </c>
      <c r="J189" s="63" t="e">
        <f>(J155/J154-1)*100</f>
        <v>#DIV/0!</v>
      </c>
      <c r="K189" s="11"/>
    </row>
    <row r="190" spans="1:11" ht="18" customHeight="1">
      <c r="A190" s="69" t="s">
        <v>55</v>
      </c>
      <c r="B190" s="6"/>
      <c r="C190" s="10"/>
      <c r="D190" s="14" t="s">
        <v>34</v>
      </c>
      <c r="E190" s="10"/>
      <c r="F190" s="50"/>
      <c r="G190" s="50"/>
      <c r="H190" s="19"/>
      <c r="I190" s="8"/>
      <c r="J190" s="7"/>
      <c r="K190" s="11"/>
    </row>
    <row r="191" spans="1:11" ht="18" customHeight="1">
      <c r="A191" s="70"/>
      <c r="B191" s="34">
        <v>0</v>
      </c>
      <c r="C191" s="34">
        <v>0</v>
      </c>
      <c r="D191" s="34">
        <v>0</v>
      </c>
      <c r="E191" s="34">
        <v>0</v>
      </c>
      <c r="F191" s="65">
        <v>-100</v>
      </c>
      <c r="G191" s="34">
        <v>0</v>
      </c>
      <c r="H191" s="68">
        <v>-88.70967741935483</v>
      </c>
      <c r="I191" s="59" t="e">
        <f>(I159/I146-1)*100</f>
        <v>#DIV/0!</v>
      </c>
      <c r="J191" s="64" t="e">
        <f>(J159/J146-1)*100</f>
        <v>#DIV/0!</v>
      </c>
      <c r="K191" s="11"/>
    </row>
    <row r="192" spans="1:8" ht="16.5">
      <c r="A192" s="71"/>
      <c r="B192" s="71"/>
      <c r="C192" s="71"/>
      <c r="D192" s="71"/>
      <c r="E192" s="71"/>
      <c r="F192" s="71"/>
      <c r="G192" s="71"/>
      <c r="H192" s="71"/>
    </row>
    <row r="199" spans="6:7" ht="16.5">
      <c r="F199" s="11"/>
      <c r="G199" s="61"/>
    </row>
  </sheetData>
  <mergeCells count="10">
    <mergeCell ref="A188:A189"/>
    <mergeCell ref="A190:A191"/>
    <mergeCell ref="A192:H192"/>
    <mergeCell ref="A3:A6"/>
    <mergeCell ref="B3:H4"/>
    <mergeCell ref="B5:B6"/>
    <mergeCell ref="C5:C6"/>
    <mergeCell ref="D5:D6"/>
    <mergeCell ref="E5:E6"/>
    <mergeCell ref="H5:H6"/>
  </mergeCells>
  <printOptions horizontalCentered="1"/>
  <pageMargins left="0.2362204724409449" right="0.2755905511811024" top="0.7874015748031497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Lucky-Ting</dc:creator>
  <cp:keywords/>
  <dc:description/>
  <cp:lastModifiedBy>tccgod</cp:lastModifiedBy>
  <cp:lastPrinted>2004-02-24T06:54:30Z</cp:lastPrinted>
  <dcterms:created xsi:type="dcterms:W3CDTF">1998-03-14T14:37:03Z</dcterms:created>
  <dcterms:modified xsi:type="dcterms:W3CDTF">2011-02-18T03:51:08Z</dcterms:modified>
  <cp:category/>
  <cp:version/>
  <cp:contentType/>
  <cp:contentStatus/>
</cp:coreProperties>
</file>