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30" windowHeight="4965" tabRatio="601" activeTab="0"/>
  </bookViews>
  <sheets>
    <sheet name="5環境保護" sheetId="1" r:id="rId1"/>
  </sheets>
  <definedNames>
    <definedName name="_xlnm.Print_Area" localSheetId="0">'5環境保護'!$ED$38</definedName>
    <definedName name="_xlnm.Print_Titles" localSheetId="0">'5環境保護'!$2:$3</definedName>
  </definedNames>
  <calcPr fullCalcOnLoad="1"/>
</workbook>
</file>

<file path=xl/sharedStrings.xml><?xml version="1.0" encoding="utf-8"?>
<sst xmlns="http://schemas.openxmlformats.org/spreadsheetml/2006/main" count="191" uniqueCount="176">
  <si>
    <r>
      <t xml:space="preserve">   </t>
    </r>
    <r>
      <rPr>
        <sz val="12"/>
        <rFont val="新細明體"/>
        <family val="1"/>
      </rPr>
      <t>款金額</t>
    </r>
    <r>
      <rPr>
        <sz val="12"/>
        <rFont val="Times New Roman"/>
        <family val="1"/>
      </rPr>
      <t xml:space="preserve">               ( </t>
    </r>
    <r>
      <rPr>
        <sz val="12"/>
        <rFont val="新細明體"/>
        <family val="1"/>
      </rPr>
      <t>千元</t>
    </r>
    <r>
      <rPr>
        <sz val="12"/>
        <rFont val="Times New Roman"/>
        <family val="1"/>
      </rPr>
      <t xml:space="preserve"> )</t>
    </r>
  </si>
  <si>
    <r>
      <t xml:space="preserve">   </t>
    </r>
    <r>
      <rPr>
        <sz val="12"/>
        <rFont val="新細明體"/>
        <family val="1"/>
      </rPr>
      <t>家稽查次數</t>
    </r>
    <r>
      <rPr>
        <sz val="12"/>
        <rFont val="Times New Roman"/>
        <family val="1"/>
      </rPr>
      <t xml:space="preserve">               (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)</t>
    </r>
  </si>
  <si>
    <t xml:space="preserve">    ( % )</t>
  </si>
  <si>
    <t xml:space="preserve">   ( % )</t>
  </si>
  <si>
    <r>
      <t xml:space="preserve">   </t>
    </r>
    <r>
      <rPr>
        <sz val="12"/>
        <rFont val="新細明體"/>
        <family val="1"/>
      </rPr>
      <t>發率</t>
    </r>
    <r>
      <rPr>
        <sz val="12"/>
        <rFont val="Times New Roman"/>
        <family val="1"/>
      </rPr>
      <t xml:space="preserve">                           ( % )</t>
    </r>
  </si>
  <si>
    <r>
      <t xml:space="preserve">   ( </t>
    </r>
    <r>
      <rPr>
        <sz val="12"/>
        <rFont val="新細明體"/>
        <family val="1"/>
      </rPr>
      <t>公噸</t>
    </r>
    <r>
      <rPr>
        <sz val="12"/>
        <rFont val="Times New Roman"/>
        <family val="1"/>
      </rPr>
      <t xml:space="preserve"> )</t>
    </r>
  </si>
  <si>
    <r>
      <t xml:space="preserve">   ( 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 xml:space="preserve"> )</t>
    </r>
  </si>
  <si>
    <r>
      <t xml:space="preserve">     ( </t>
    </r>
    <r>
      <rPr>
        <sz val="12"/>
        <rFont val="新細明體"/>
        <family val="1"/>
      </rPr>
      <t>微克／立方公尺</t>
    </r>
    <r>
      <rPr>
        <sz val="12"/>
        <rFont val="Times New Roman"/>
        <family val="1"/>
      </rPr>
      <t xml:space="preserve"> )</t>
    </r>
  </si>
  <si>
    <t>執行績效說明</t>
  </si>
  <si>
    <t>指      標      數</t>
  </si>
  <si>
    <t>項         目</t>
  </si>
  <si>
    <t>指       標       數</t>
  </si>
  <si>
    <t>本月較上月比較</t>
  </si>
  <si>
    <r>
      <t>(</t>
    </r>
    <r>
      <rPr>
        <sz val="12"/>
        <rFont val="細明體"/>
        <family val="3"/>
      </rPr>
      <t>百分點</t>
    </r>
    <r>
      <rPr>
        <sz val="12"/>
        <rFont val="Times New Roman"/>
        <family val="1"/>
      </rPr>
      <t>)</t>
    </r>
  </si>
  <si>
    <t>(%)</t>
  </si>
  <si>
    <r>
      <t>(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平方公里</t>
    </r>
    <r>
      <rPr>
        <sz val="12"/>
        <rFont val="Times New Roman"/>
        <family val="1"/>
      </rPr>
      <t>)</t>
    </r>
  </si>
  <si>
    <r>
      <t>(</t>
    </r>
    <r>
      <rPr>
        <sz val="12"/>
        <rFont val="細明體"/>
        <family val="3"/>
      </rPr>
      <t>輛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平方公里</t>
    </r>
    <r>
      <rPr>
        <sz val="12"/>
        <rFont val="Times New Roman"/>
        <family val="1"/>
      </rPr>
      <t>)</t>
    </r>
  </si>
  <si>
    <r>
      <t>(</t>
    </r>
    <r>
      <rPr>
        <sz val="12"/>
        <rFont val="細明體"/>
        <family val="3"/>
      </rPr>
      <t>家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平方公里</t>
    </r>
    <r>
      <rPr>
        <sz val="12"/>
        <rFont val="Times New Roman"/>
        <family val="1"/>
      </rPr>
      <t>)</t>
    </r>
  </si>
  <si>
    <r>
      <t>(</t>
    </r>
    <r>
      <rPr>
        <sz val="12"/>
        <rFont val="細明體"/>
        <family val="3"/>
      </rPr>
      <t>微克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立方公尺</t>
    </r>
    <r>
      <rPr>
        <sz val="12"/>
        <rFont val="Times New Roman"/>
        <family val="1"/>
      </rPr>
      <t>)</t>
    </r>
  </si>
  <si>
    <t>(%)</t>
  </si>
  <si>
    <t>(%)</t>
  </si>
  <si>
    <t>五、環境保護</t>
  </si>
  <si>
    <r>
      <t>1.</t>
    </r>
    <r>
      <rPr>
        <sz val="12"/>
        <rFont val="新細明體"/>
        <family val="1"/>
      </rPr>
      <t>事業廢水列管家數平均每</t>
    </r>
  </si>
  <si>
    <r>
      <t>2.</t>
    </r>
    <r>
      <rPr>
        <sz val="12"/>
        <rFont val="新細明體"/>
        <family val="1"/>
      </rPr>
      <t>事業廢水污染源改善率</t>
    </r>
  </si>
  <si>
    <t>89年1月</t>
  </si>
  <si>
    <t>88年12月</t>
  </si>
  <si>
    <t>89年2月</t>
  </si>
  <si>
    <t>89年3月</t>
  </si>
  <si>
    <t>89年4月</t>
  </si>
  <si>
    <r>
      <t>89/1.2.3.4</t>
    </r>
    <r>
      <rPr>
        <sz val="12"/>
        <rFont val="細明體"/>
        <family val="3"/>
      </rPr>
      <t>檢查後無不合格者</t>
    </r>
  </si>
  <si>
    <t>89年5月</t>
  </si>
  <si>
    <t>89年6月</t>
  </si>
  <si>
    <t>89年7月</t>
  </si>
  <si>
    <t>89年8月</t>
  </si>
  <si>
    <t>89年9月</t>
  </si>
  <si>
    <t>89年10月</t>
  </si>
  <si>
    <r>
      <t>89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</si>
  <si>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r>
      <t>89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</si>
  <si>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t>-</t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</si>
  <si>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</si>
  <si>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</si>
  <si>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</si>
  <si>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</si>
  <si>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</si>
  <si>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</si>
  <si>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t>指標數</t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</si>
  <si>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</si>
  <si>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</si>
  <si>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</si>
  <si>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t>…</t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</si>
  <si>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</si>
  <si>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</si>
  <si>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</si>
  <si>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</si>
  <si>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</si>
  <si>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</si>
  <si>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</si>
  <si>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</si>
  <si>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</si>
  <si>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</si>
  <si>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</si>
  <si>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</si>
  <si>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</si>
  <si>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2.</t>
    </r>
    <r>
      <rPr>
        <sz val="12"/>
        <rFont val="新細明體"/>
        <family val="1"/>
      </rPr>
      <t>事業廢水污染源處分率</t>
    </r>
  </si>
  <si>
    <r>
      <t>3.</t>
    </r>
    <r>
      <rPr>
        <sz val="12"/>
        <rFont val="新細明體"/>
        <family val="1"/>
      </rPr>
      <t>交通工具空氣污染檢查告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</si>
  <si>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</si>
  <si>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</si>
  <si>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</si>
  <si>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</si>
  <si>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</si>
  <si>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</si>
  <si>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</si>
  <si>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</si>
  <si>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t>–</t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</si>
  <si>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</si>
  <si>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</si>
  <si>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</si>
  <si>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</si>
  <si>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</si>
  <si>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</si>
  <si>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</si>
  <si>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</si>
  <si>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</si>
  <si>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</si>
  <si>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</si>
  <si>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</si>
  <si>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</si>
  <si>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</si>
  <si>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</si>
  <si>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</si>
  <si>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</si>
  <si>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</si>
  <si>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</si>
  <si>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</si>
  <si>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</si>
  <si>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</si>
  <si>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</si>
  <si>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</si>
  <si>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</si>
  <si>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</si>
  <si>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</si>
  <si>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</si>
  <si>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</si>
  <si>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</si>
  <si>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</si>
  <si>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</si>
  <si>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</si>
  <si>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</si>
  <si>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</si>
  <si>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</si>
  <si>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</si>
  <si>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</si>
  <si>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</si>
  <si>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</si>
  <si>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</si>
  <si>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</si>
  <si>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</si>
  <si>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</si>
  <si>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</si>
  <si>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</si>
  <si>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</si>
  <si>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</si>
  <si>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</si>
  <si>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</si>
  <si>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（</t>
    </r>
    <r>
      <rPr>
        <sz val="12"/>
        <rFont val="Times New Roman"/>
        <family val="1"/>
      </rPr>
      <t>a</t>
    </r>
    <r>
      <rPr>
        <sz val="12"/>
        <rFont val="細明體"/>
        <family val="3"/>
      </rPr>
      <t>）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</si>
  <si>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</si>
  <si>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</si>
  <si>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</si>
  <si>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</si>
  <si>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</si>
  <si>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</si>
  <si>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</si>
  <si>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</si>
  <si>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</si>
  <si>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</si>
  <si>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</si>
  <si>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</si>
  <si>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</si>
  <si>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</si>
  <si>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</si>
  <si>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</si>
  <si>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</si>
  <si>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</si>
  <si>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</si>
  <si>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</si>
  <si>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</si>
  <si>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</si>
  <si>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</si>
  <si>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</si>
  <si>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</si>
  <si>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附註：</t>
    </r>
    <r>
      <rPr>
        <vertAlign val="superscript"/>
        <sz val="12"/>
        <rFont val="新細明體"/>
        <family val="1"/>
      </rPr>
      <t>（a）</t>
    </r>
    <r>
      <rPr>
        <sz val="12"/>
        <rFont val="新細明體"/>
        <family val="1"/>
      </rPr>
      <t>為上月與上二月之變動率</t>
    </r>
  </si>
  <si>
    <t>備註：本月與上月比較因四捨五入及小數計算產生些微誤差</t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</si>
  <si>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</si>
  <si>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t>月底人口數</t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</si>
  <si>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</si>
  <si>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</si>
  <si>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1.</t>
    </r>
    <r>
      <rPr>
        <sz val="12"/>
        <rFont val="新細明體"/>
        <family val="1"/>
      </rPr>
      <t>平均每次事業廢水稽查罰</t>
    </r>
  </si>
  <si>
    <r>
      <t>2.</t>
    </r>
    <r>
      <rPr>
        <sz val="12"/>
        <rFont val="新細明體"/>
        <family val="1"/>
      </rPr>
      <t>平均每日垃圾清運量</t>
    </r>
  </si>
  <si>
    <r>
      <t>3.</t>
    </r>
    <r>
      <rPr>
        <sz val="12"/>
        <rFont val="新細明體"/>
        <family val="1"/>
      </rPr>
      <t>平均每人每日垃圾量</t>
    </r>
  </si>
  <si>
    <r>
      <t>4.</t>
    </r>
    <r>
      <rPr>
        <sz val="12"/>
        <rFont val="新細明體"/>
        <family val="1"/>
      </rPr>
      <t>人口密度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人／平方公里</t>
    </r>
    <r>
      <rPr>
        <sz val="12"/>
        <rFont val="Times New Roman"/>
        <family val="1"/>
      </rPr>
      <t>)</t>
    </r>
  </si>
  <si>
    <r>
      <t>5.</t>
    </r>
    <r>
      <rPr>
        <sz val="12"/>
        <rFont val="新細明體"/>
        <family val="1"/>
      </rPr>
      <t>汽車密度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輛／平方公里</t>
    </r>
    <r>
      <rPr>
        <sz val="12"/>
        <rFont val="Times New Roman"/>
        <family val="1"/>
      </rPr>
      <t>)</t>
    </r>
  </si>
  <si>
    <r>
      <t>6.</t>
    </r>
    <r>
      <rPr>
        <sz val="12"/>
        <rFont val="新細明體"/>
        <family val="1"/>
      </rPr>
      <t>機車密度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輛／平方公里</t>
    </r>
    <r>
      <rPr>
        <sz val="12"/>
        <rFont val="Times New Roman"/>
        <family val="1"/>
      </rPr>
      <t>)</t>
    </r>
  </si>
  <si>
    <r>
      <t>7.</t>
    </r>
    <r>
      <rPr>
        <sz val="12"/>
        <rFont val="新細明體"/>
        <family val="1"/>
      </rPr>
      <t>工廠密度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家／平方公里</t>
    </r>
    <r>
      <rPr>
        <sz val="12"/>
        <rFont val="Times New Roman"/>
        <family val="1"/>
      </rPr>
      <t>)</t>
    </r>
  </si>
  <si>
    <r>
      <t>8.</t>
    </r>
    <r>
      <rPr>
        <sz val="12"/>
        <rFont val="新細明體"/>
        <family val="1"/>
      </rPr>
      <t>空氣中懸浮微粒濃度</t>
    </r>
  </si>
  <si>
    <r>
      <t>9.</t>
    </r>
    <r>
      <rPr>
        <sz val="12"/>
        <rFont val="新細明體"/>
        <family val="1"/>
      </rPr>
      <t>飲用水不合格率</t>
    </r>
    <r>
      <rPr>
        <sz val="12"/>
        <rFont val="Times New Roman"/>
        <family val="1"/>
      </rPr>
      <t xml:space="preserve">     ( % )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</si>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</sst>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_);_(* \(#,##0.0\);_(* &quot;-&quot;??_);_(@_)"/>
    <numFmt numFmtId="178" formatCode="#,##0.00_);[Red]\(#,##0.00\)"/>
    <numFmt numFmtId="179" formatCode="0.00_);[Red]\(0.00\)"/>
    <numFmt numFmtId="180" formatCode="#,##0.00_ "/>
  </numFmts>
  <fonts count="47">
    <font>
      <sz val="12"/>
      <name val="Times New Roman"/>
      <family val="1"/>
    </font>
    <font>
      <sz val="12"/>
      <color indexed="8"/>
      <name val="標楷體"/>
      <family val="4"/>
    </font>
    <font>
      <sz val="20"/>
      <name val="Times New Roman"/>
      <family val="1"/>
    </font>
    <font>
      <b/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b/>
      <sz val="24"/>
      <name val="華康隸書體W5"/>
      <family val="4"/>
    </font>
    <font>
      <b/>
      <sz val="14"/>
      <name val="Times New Roman"/>
      <family val="1"/>
    </font>
    <font>
      <b/>
      <sz val="14"/>
      <name val="細明體"/>
      <family val="3"/>
    </font>
    <font>
      <vertAlign val="superscript"/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8" fontId="0" fillId="0" borderId="10" xfId="35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1" fontId="0" fillId="0" borderId="16" xfId="0" applyNumberFormat="1" applyFont="1" applyBorder="1" applyAlignment="1">
      <alignment horizontal="center" vertical="center"/>
    </xf>
    <xf numFmtId="178" fontId="0" fillId="0" borderId="16" xfId="35" applyNumberFormat="1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41" fontId="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8" fontId="0" fillId="0" borderId="10" xfId="35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4" fillId="0" borderId="10" xfId="33" applyBorder="1">
      <alignment vertical="center"/>
      <protection/>
    </xf>
    <xf numFmtId="0" fontId="4" fillId="0" borderId="21" xfId="33" applyBorder="1">
      <alignment vertical="center"/>
      <protection/>
    </xf>
    <xf numFmtId="178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8" fontId="0" fillId="0" borderId="16" xfId="35" applyNumberFormat="1" applyFont="1" applyFill="1" applyBorder="1" applyAlignment="1">
      <alignment horizontal="center" vertical="center"/>
    </xf>
    <xf numFmtId="178" fontId="0" fillId="0" borderId="10" xfId="3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178" fontId="0" fillId="0" borderId="10" xfId="35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環境保護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7"/>
  <sheetViews>
    <sheetView showGridLines="0" tabSelected="1" zoomScale="75" zoomScaleNormal="75" zoomScalePageLayoutView="0" workbookViewId="0" topLeftCell="A31">
      <selection activeCell="CJ1" sqref="CJ1:DQ65536"/>
    </sheetView>
  </sheetViews>
  <sheetFormatPr defaultColWidth="9.00390625" defaultRowHeight="15.75"/>
  <cols>
    <col min="1" max="1" width="26.75390625" style="0" customWidth="1"/>
    <col min="2" max="2" width="11.75390625" style="0" hidden="1" customWidth="1"/>
    <col min="3" max="3" width="10.50390625" style="0" hidden="1" customWidth="1"/>
    <col min="4" max="4" width="10.625" style="0" hidden="1" customWidth="1"/>
    <col min="5" max="104" width="12.50390625" style="0" hidden="1" customWidth="1"/>
    <col min="105" max="121" width="12.50390625" style="70" hidden="1" customWidth="1"/>
    <col min="122" max="133" width="12.50390625" style="70" customWidth="1"/>
    <col min="134" max="134" width="16.25390625" style="0" customWidth="1"/>
    <col min="135" max="135" width="28.50390625" style="0" hidden="1" customWidth="1"/>
    <col min="136" max="137" width="10.625" style="0" customWidth="1"/>
    <col min="138" max="138" width="10.625" style="6" customWidth="1"/>
  </cols>
  <sheetData>
    <row r="1" spans="1:137" ht="29.25">
      <c r="A1" s="24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4"/>
      <c r="EE1" s="4"/>
      <c r="EF1" s="4"/>
      <c r="EG1" s="4"/>
    </row>
    <row r="2" spans="1:135" s="1" customFormat="1" ht="18" customHeight="1">
      <c r="A2" s="76" t="s">
        <v>10</v>
      </c>
      <c r="B2" s="22" t="s">
        <v>11</v>
      </c>
      <c r="C2" s="22" t="s">
        <v>9</v>
      </c>
      <c r="D2" s="37"/>
      <c r="E2" s="37"/>
      <c r="F2" s="37"/>
      <c r="G2" s="37"/>
      <c r="H2" s="37"/>
      <c r="I2" s="37" t="s">
        <v>45</v>
      </c>
      <c r="J2" s="37"/>
      <c r="K2" s="37" t="s">
        <v>45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38"/>
      <c r="EE2" s="76" t="s">
        <v>8</v>
      </c>
    </row>
    <row r="3" spans="1:138" ht="42.75" customHeight="1">
      <c r="A3" s="77"/>
      <c r="B3" s="23" t="s">
        <v>25</v>
      </c>
      <c r="C3" s="23" t="s">
        <v>24</v>
      </c>
      <c r="D3" s="23" t="s">
        <v>26</v>
      </c>
      <c r="E3" s="23" t="s">
        <v>27</v>
      </c>
      <c r="F3" s="23" t="s">
        <v>28</v>
      </c>
      <c r="G3" s="23" t="s">
        <v>30</v>
      </c>
      <c r="H3" s="23" t="s">
        <v>31</v>
      </c>
      <c r="I3" s="23" t="s">
        <v>32</v>
      </c>
      <c r="J3" s="23" t="s">
        <v>33</v>
      </c>
      <c r="K3" s="23" t="s">
        <v>34</v>
      </c>
      <c r="L3" s="23" t="s">
        <v>35</v>
      </c>
      <c r="M3" s="42" t="s">
        <v>36</v>
      </c>
      <c r="N3" s="42" t="s">
        <v>37</v>
      </c>
      <c r="O3" s="42" t="s">
        <v>39</v>
      </c>
      <c r="P3" s="42" t="s">
        <v>40</v>
      </c>
      <c r="Q3" s="42" t="s">
        <v>41</v>
      </c>
      <c r="R3" s="42" t="s">
        <v>42</v>
      </c>
      <c r="S3" s="42" t="s">
        <v>43</v>
      </c>
      <c r="T3" s="42" t="s">
        <v>44</v>
      </c>
      <c r="U3" s="42" t="s">
        <v>46</v>
      </c>
      <c r="V3" s="42" t="s">
        <v>47</v>
      </c>
      <c r="W3" s="42" t="s">
        <v>48</v>
      </c>
      <c r="X3" s="42" t="s">
        <v>50</v>
      </c>
      <c r="Y3" s="42" t="s">
        <v>51</v>
      </c>
      <c r="Z3" s="42" t="s">
        <v>52</v>
      </c>
      <c r="AA3" s="42" t="s">
        <v>53</v>
      </c>
      <c r="AB3" s="42" t="s">
        <v>54</v>
      </c>
      <c r="AC3" s="42" t="s">
        <v>55</v>
      </c>
      <c r="AD3" s="42" t="s">
        <v>56</v>
      </c>
      <c r="AE3" s="42" t="s">
        <v>57</v>
      </c>
      <c r="AF3" s="42" t="s">
        <v>58</v>
      </c>
      <c r="AG3" s="42" t="s">
        <v>59</v>
      </c>
      <c r="AH3" s="42" t="s">
        <v>60</v>
      </c>
      <c r="AI3" s="42" t="s">
        <v>61</v>
      </c>
      <c r="AJ3" s="42" t="s">
        <v>62</v>
      </c>
      <c r="AK3" s="42" t="s">
        <v>65</v>
      </c>
      <c r="AL3" s="42" t="s">
        <v>66</v>
      </c>
      <c r="AM3" s="42" t="s">
        <v>67</v>
      </c>
      <c r="AN3" s="42" t="s">
        <v>68</v>
      </c>
      <c r="AO3" s="42" t="s">
        <v>69</v>
      </c>
      <c r="AP3" s="42" t="s">
        <v>70</v>
      </c>
      <c r="AQ3" s="42" t="s">
        <v>71</v>
      </c>
      <c r="AR3" s="42" t="s">
        <v>72</v>
      </c>
      <c r="AS3" s="42" t="s">
        <v>74</v>
      </c>
      <c r="AT3" s="42" t="s">
        <v>75</v>
      </c>
      <c r="AU3" s="42" t="s">
        <v>76</v>
      </c>
      <c r="AV3" s="42" t="s">
        <v>77</v>
      </c>
      <c r="AW3" s="42" t="s">
        <v>78</v>
      </c>
      <c r="AX3" s="42" t="s">
        <v>79</v>
      </c>
      <c r="AY3" s="42" t="s">
        <v>80</v>
      </c>
      <c r="AZ3" s="42" t="s">
        <v>81</v>
      </c>
      <c r="BA3" s="42" t="s">
        <v>82</v>
      </c>
      <c r="BB3" s="42" t="s">
        <v>83</v>
      </c>
      <c r="BC3" s="42" t="s">
        <v>84</v>
      </c>
      <c r="BD3" s="42" t="s">
        <v>85</v>
      </c>
      <c r="BE3" s="42" t="s">
        <v>86</v>
      </c>
      <c r="BF3" s="42" t="s">
        <v>87</v>
      </c>
      <c r="BG3" s="42" t="s">
        <v>88</v>
      </c>
      <c r="BH3" s="42" t="s">
        <v>89</v>
      </c>
      <c r="BI3" s="42" t="s">
        <v>90</v>
      </c>
      <c r="BJ3" s="42" t="s">
        <v>91</v>
      </c>
      <c r="BK3" s="42" t="s">
        <v>92</v>
      </c>
      <c r="BL3" s="42" t="s">
        <v>93</v>
      </c>
      <c r="BM3" s="42" t="s">
        <v>94</v>
      </c>
      <c r="BN3" s="42" t="s">
        <v>95</v>
      </c>
      <c r="BO3" s="42" t="s">
        <v>96</v>
      </c>
      <c r="BP3" s="42" t="s">
        <v>97</v>
      </c>
      <c r="BQ3" s="42" t="s">
        <v>98</v>
      </c>
      <c r="BR3" s="42" t="s">
        <v>99</v>
      </c>
      <c r="BS3" s="42" t="s">
        <v>100</v>
      </c>
      <c r="BT3" s="42" t="s">
        <v>101</v>
      </c>
      <c r="BU3" s="42" t="s">
        <v>102</v>
      </c>
      <c r="BV3" s="42" t="s">
        <v>103</v>
      </c>
      <c r="BW3" s="42" t="s">
        <v>104</v>
      </c>
      <c r="BX3" s="42" t="s">
        <v>105</v>
      </c>
      <c r="BY3" s="42" t="s">
        <v>106</v>
      </c>
      <c r="BZ3" s="42" t="s">
        <v>107</v>
      </c>
      <c r="CA3" s="42" t="s">
        <v>108</v>
      </c>
      <c r="CB3" s="42" t="s">
        <v>109</v>
      </c>
      <c r="CC3" s="42" t="s">
        <v>110</v>
      </c>
      <c r="CD3" s="42" t="s">
        <v>111</v>
      </c>
      <c r="CE3" s="42" t="s">
        <v>112</v>
      </c>
      <c r="CF3" s="42" t="s">
        <v>113</v>
      </c>
      <c r="CG3" s="42" t="s">
        <v>114</v>
      </c>
      <c r="CH3" s="42" t="s">
        <v>115</v>
      </c>
      <c r="CI3" s="42" t="s">
        <v>116</v>
      </c>
      <c r="CJ3" s="42" t="s">
        <v>117</v>
      </c>
      <c r="CK3" s="42" t="s">
        <v>118</v>
      </c>
      <c r="CL3" s="42" t="s">
        <v>119</v>
      </c>
      <c r="CM3" s="42" t="s">
        <v>120</v>
      </c>
      <c r="CN3" s="42" t="s">
        <v>121</v>
      </c>
      <c r="CO3" s="42" t="s">
        <v>122</v>
      </c>
      <c r="CP3" s="42" t="s">
        <v>123</v>
      </c>
      <c r="CQ3" s="42" t="s">
        <v>125</v>
      </c>
      <c r="CR3" s="42" t="s">
        <v>126</v>
      </c>
      <c r="CS3" s="42" t="s">
        <v>127</v>
      </c>
      <c r="CT3" s="42" t="s">
        <v>128</v>
      </c>
      <c r="CU3" s="42" t="s">
        <v>129</v>
      </c>
      <c r="CV3" s="42" t="s">
        <v>130</v>
      </c>
      <c r="CW3" s="42" t="s">
        <v>131</v>
      </c>
      <c r="CX3" s="42" t="s">
        <v>132</v>
      </c>
      <c r="CY3" s="42" t="s">
        <v>133</v>
      </c>
      <c r="CZ3" s="42" t="s">
        <v>134</v>
      </c>
      <c r="DA3" s="63" t="s">
        <v>135</v>
      </c>
      <c r="DB3" s="63" t="s">
        <v>136</v>
      </c>
      <c r="DC3" s="63" t="s">
        <v>137</v>
      </c>
      <c r="DD3" s="63" t="s">
        <v>138</v>
      </c>
      <c r="DE3" s="63" t="s">
        <v>139</v>
      </c>
      <c r="DF3" s="63" t="s">
        <v>140</v>
      </c>
      <c r="DG3" s="63" t="s">
        <v>141</v>
      </c>
      <c r="DH3" s="63" t="s">
        <v>142</v>
      </c>
      <c r="DI3" s="63" t="s">
        <v>143</v>
      </c>
      <c r="DJ3" s="63" t="s">
        <v>144</v>
      </c>
      <c r="DK3" s="63" t="s">
        <v>145</v>
      </c>
      <c r="DL3" s="63" t="s">
        <v>146</v>
      </c>
      <c r="DM3" s="63" t="s">
        <v>147</v>
      </c>
      <c r="DN3" s="63" t="s">
        <v>148</v>
      </c>
      <c r="DO3" s="63" t="s">
        <v>149</v>
      </c>
      <c r="DP3" s="63" t="s">
        <v>152</v>
      </c>
      <c r="DQ3" s="63" t="s">
        <v>154</v>
      </c>
      <c r="DR3" s="63" t="s">
        <v>155</v>
      </c>
      <c r="DS3" s="63" t="s">
        <v>165</v>
      </c>
      <c r="DT3" s="63" t="s">
        <v>166</v>
      </c>
      <c r="DU3" s="63" t="s">
        <v>167</v>
      </c>
      <c r="DV3" s="63" t="s">
        <v>168</v>
      </c>
      <c r="DW3" s="63" t="s">
        <v>169</v>
      </c>
      <c r="DX3" s="63" t="s">
        <v>170</v>
      </c>
      <c r="DY3" s="63" t="s">
        <v>171</v>
      </c>
      <c r="DZ3" s="63" t="s">
        <v>172</v>
      </c>
      <c r="EA3" s="63" t="s">
        <v>173</v>
      </c>
      <c r="EB3" s="63" t="s">
        <v>174</v>
      </c>
      <c r="EC3" s="63" t="s">
        <v>175</v>
      </c>
      <c r="ED3" s="33" t="s">
        <v>12</v>
      </c>
      <c r="EE3" s="78"/>
      <c r="EG3" s="40"/>
      <c r="EH3"/>
    </row>
    <row r="4" spans="1:138" ht="16.5" customHeight="1" hidden="1">
      <c r="A4" s="19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21"/>
      <c r="EE4" s="17"/>
      <c r="EH4"/>
    </row>
    <row r="5" spans="1:138" ht="16.5" customHeight="1" hidden="1">
      <c r="A5" s="2" t="s">
        <v>1</v>
      </c>
      <c r="B5" s="8">
        <v>38.06</v>
      </c>
      <c r="C5" s="8">
        <v>0.34</v>
      </c>
      <c r="D5" s="8">
        <v>0.31</v>
      </c>
      <c r="E5" s="8">
        <v>0.28</v>
      </c>
      <c r="F5" s="8">
        <v>0.24</v>
      </c>
      <c r="G5" s="8">
        <v>0.21</v>
      </c>
      <c r="H5" s="8">
        <v>0.25</v>
      </c>
      <c r="I5" s="8">
        <v>0.14</v>
      </c>
      <c r="J5" s="8">
        <v>0.15</v>
      </c>
      <c r="K5" s="8">
        <v>0.11</v>
      </c>
      <c r="L5" s="8">
        <v>0.1</v>
      </c>
      <c r="M5" s="8">
        <v>0.07</v>
      </c>
      <c r="N5" s="8">
        <v>0.11</v>
      </c>
      <c r="O5" s="8">
        <v>0.03</v>
      </c>
      <c r="P5" s="8">
        <v>0.06</v>
      </c>
      <c r="Q5" s="8">
        <v>0.15</v>
      </c>
      <c r="R5" s="8">
        <v>0.12</v>
      </c>
      <c r="S5" s="8">
        <v>0.19</v>
      </c>
      <c r="T5" s="8">
        <v>0.22</v>
      </c>
      <c r="U5" s="8">
        <v>0.15</v>
      </c>
      <c r="V5" s="8">
        <f>31/236</f>
        <v>0.13135593220338984</v>
      </c>
      <c r="W5" s="8">
        <f>23/239</f>
        <v>0.09623430962343096</v>
      </c>
      <c r="X5" s="8">
        <f>24/240</f>
        <v>0.1</v>
      </c>
      <c r="Y5" s="8">
        <f>20/239</f>
        <v>0.08368200836820083</v>
      </c>
      <c r="Z5" s="8">
        <f>33/239</f>
        <v>0.13807531380753138</v>
      </c>
      <c r="AA5" s="8">
        <f>29/240</f>
        <v>0.12083333333333333</v>
      </c>
      <c r="AB5" s="8">
        <f>15/240</f>
        <v>0.0625</v>
      </c>
      <c r="AC5" s="8">
        <f>33/239</f>
        <v>0.13807531380753138</v>
      </c>
      <c r="AD5" s="8">
        <f>42/237</f>
        <v>0.17721518987341772</v>
      </c>
      <c r="AE5" s="8">
        <f>51/251</f>
        <v>0.20318725099601595</v>
      </c>
      <c r="AF5" s="8">
        <f>35/249</f>
        <v>0.14056224899598393</v>
      </c>
      <c r="AG5" s="8">
        <f>39/244</f>
        <v>0.1598360655737705</v>
      </c>
      <c r="AH5" s="8">
        <f>34/246</f>
        <v>0.13821138211382114</v>
      </c>
      <c r="AI5" s="8">
        <f>28/248</f>
        <v>0.11290322580645161</v>
      </c>
      <c r="AJ5" s="8">
        <f>23/248</f>
        <v>0.09274193548387097</v>
      </c>
      <c r="AK5" s="8">
        <f>28/248</f>
        <v>0.11290322580645161</v>
      </c>
      <c r="AL5" s="8">
        <f>16/247</f>
        <v>0.06477732793522267</v>
      </c>
      <c r="AM5" s="8">
        <f>12/248</f>
        <v>0.04838709677419355</v>
      </c>
      <c r="AN5" s="8">
        <f>32/248</f>
        <v>0.12903225806451613</v>
      </c>
      <c r="AO5" s="8">
        <f>36/247</f>
        <v>0.145748987854251</v>
      </c>
      <c r="AP5" s="8">
        <f>46/244</f>
        <v>0.1885245901639344</v>
      </c>
      <c r="AQ5" s="8">
        <f>41/245</f>
        <v>0.1673469387755102</v>
      </c>
      <c r="AR5" s="8">
        <f>34/243</f>
        <v>0.13991769547325103</v>
      </c>
      <c r="AS5" s="8">
        <f>20/243</f>
        <v>0.0823045267489712</v>
      </c>
      <c r="AT5" s="8">
        <f>28/245</f>
        <v>0.11428571428571428</v>
      </c>
      <c r="AU5" s="8">
        <f>36/244</f>
        <v>0.14754098360655737</v>
      </c>
      <c r="AV5" s="8">
        <f>52/241</f>
        <v>0.2157676348547718</v>
      </c>
      <c r="AW5" s="8">
        <f>69/242</f>
        <v>0.28512396694214875</v>
      </c>
      <c r="AX5" s="8">
        <f>6/242</f>
        <v>0.024793388429752067</v>
      </c>
      <c r="AY5" s="8">
        <f>29/243</f>
        <v>0.11934156378600823</v>
      </c>
      <c r="AZ5" s="8">
        <f>67/245</f>
        <v>0.27346938775510204</v>
      </c>
      <c r="BA5" s="8">
        <f>68/246</f>
        <v>0.2764227642276423</v>
      </c>
      <c r="BB5" s="8">
        <f>21/246</f>
        <v>0.08536585365853659</v>
      </c>
      <c r="BC5" s="8">
        <f>38/246</f>
        <v>0.15447154471544716</v>
      </c>
      <c r="BD5" s="8">
        <f>28/246</f>
        <v>0.11382113821138211</v>
      </c>
      <c r="BE5" s="8">
        <f>25/246</f>
        <v>0.1016260162601626</v>
      </c>
      <c r="BF5" s="8">
        <f>35/249</f>
        <v>0.14056224899598393</v>
      </c>
      <c r="BG5" s="8">
        <f>27/249</f>
        <v>0.10843373493975904</v>
      </c>
      <c r="BH5" s="8">
        <f>16/251</f>
        <v>0.06374501992031872</v>
      </c>
      <c r="BI5" s="8">
        <f>33/259</f>
        <v>0.1274131274131274</v>
      </c>
      <c r="BJ5" s="8">
        <f>16/261</f>
        <v>0.06130268199233716</v>
      </c>
      <c r="BK5" s="8">
        <f>20/264</f>
        <v>0.07575757575757576</v>
      </c>
      <c r="BL5" s="8">
        <f>28/278</f>
        <v>0.10071942446043165</v>
      </c>
      <c r="BM5" s="8">
        <f>21/285</f>
        <v>0.07368421052631578</v>
      </c>
      <c r="BN5" s="8">
        <f>80/289</f>
        <v>0.2768166089965398</v>
      </c>
      <c r="BO5" s="8">
        <f>52/292</f>
        <v>0.1780821917808219</v>
      </c>
      <c r="BP5" s="8">
        <f>50/301</f>
        <v>0.16611295681063123</v>
      </c>
      <c r="BQ5" s="8">
        <v>0.28</v>
      </c>
      <c r="BR5" s="8">
        <v>0.26</v>
      </c>
      <c r="BS5" s="8">
        <v>0.15</v>
      </c>
      <c r="BT5" s="8">
        <f>113/309</f>
        <v>0.3656957928802589</v>
      </c>
      <c r="BU5" s="8">
        <f>62/311</f>
        <v>0.19935691318327975</v>
      </c>
      <c r="BV5" s="8">
        <f>2/314</f>
        <v>0.006369426751592357</v>
      </c>
      <c r="BW5" s="8">
        <f>2/316</f>
        <v>0.006329113924050633</v>
      </c>
      <c r="BX5" s="8">
        <f>47/319</f>
        <v>0.14733542319749215</v>
      </c>
      <c r="BY5" s="8">
        <f>31/323</f>
        <v>0.09597523219814241</v>
      </c>
      <c r="BZ5" s="8">
        <f>126/321</f>
        <v>0.3925233644859813</v>
      </c>
      <c r="CA5" s="8">
        <f>118/319</f>
        <v>0.36990595611285265</v>
      </c>
      <c r="CB5" s="8">
        <f>171/319</f>
        <v>0.5360501567398119</v>
      </c>
      <c r="CC5" s="8">
        <f>368/323</f>
        <v>1.1393188854489165</v>
      </c>
      <c r="CD5" s="8">
        <f>242/325</f>
        <v>0.7446153846153846</v>
      </c>
      <c r="CE5" s="8">
        <f>103/328</f>
        <v>0.31402439024390244</v>
      </c>
      <c r="CF5" s="8">
        <f>92/331</f>
        <v>0.27794561933534745</v>
      </c>
      <c r="CG5" s="8">
        <f>242/325</f>
        <v>0.7446153846153846</v>
      </c>
      <c r="CH5" s="8">
        <f>27/332</f>
        <v>0.08132530120481928</v>
      </c>
      <c r="CI5" s="32">
        <f>1/332</f>
        <v>0.0030120481927710845</v>
      </c>
      <c r="CJ5" s="8">
        <f>108/335</f>
        <v>0.32238805970149254</v>
      </c>
      <c r="CK5" s="8">
        <f>66/345</f>
        <v>0.19130434782608696</v>
      </c>
      <c r="CL5" s="8">
        <f>272/345</f>
        <v>0.7884057971014493</v>
      </c>
      <c r="CM5" s="8">
        <f>223/347</f>
        <v>0.6426512968299711</v>
      </c>
      <c r="CN5" s="8">
        <f>185/363</f>
        <v>0.509641873278237</v>
      </c>
      <c r="CO5" s="8">
        <f>189/370</f>
        <v>0.5108108108108108</v>
      </c>
      <c r="CP5" s="8">
        <f>276/376</f>
        <v>0.7340425531914894</v>
      </c>
      <c r="CQ5" s="8">
        <f>257/383</f>
        <v>0.6710182767624021</v>
      </c>
      <c r="CR5" s="8">
        <f>252/383</f>
        <v>0.6579634464751958</v>
      </c>
      <c r="CS5" s="53">
        <f>160/387</f>
        <v>0.4134366925064599</v>
      </c>
      <c r="CT5" s="53">
        <f>38/385</f>
        <v>0.0987012987012987</v>
      </c>
      <c r="CU5" s="53">
        <f>1/391</f>
        <v>0.0025575447570332483</v>
      </c>
      <c r="CV5" s="53">
        <f>7/392</f>
        <v>0.017857142857142856</v>
      </c>
      <c r="CW5" s="53">
        <f>5/406</f>
        <v>0.012315270935960592</v>
      </c>
      <c r="CX5" s="53">
        <f>12/409</f>
        <v>0.029339853300733496</v>
      </c>
      <c r="CY5" s="53">
        <f>17/416</f>
        <v>0.040865384615384616</v>
      </c>
      <c r="CZ5" s="53">
        <f>129/439</f>
        <v>0.2938496583143508</v>
      </c>
      <c r="DA5" s="53">
        <f>114/437</f>
        <v>0.2608695652173913</v>
      </c>
      <c r="DB5" s="53">
        <f>106/446</f>
        <v>0.23766816143497757</v>
      </c>
      <c r="DC5" s="53">
        <f>41/440</f>
        <v>0.09318181818181819</v>
      </c>
      <c r="DD5" s="53">
        <f>224/453</f>
        <v>0.49448123620309054</v>
      </c>
      <c r="DE5" s="53">
        <f>174/460</f>
        <v>0.3782608695652174</v>
      </c>
      <c r="DF5" s="53">
        <f>44/465</f>
        <v>0.09462365591397849</v>
      </c>
      <c r="DG5" s="53">
        <f>203/477</f>
        <v>0.42557651991614254</v>
      </c>
      <c r="DH5" s="53">
        <f>197/482</f>
        <v>0.4087136929460581</v>
      </c>
      <c r="DI5" s="53">
        <f>13/479</f>
        <v>0.027139874739039668</v>
      </c>
      <c r="DJ5" s="53">
        <f>31/479</f>
        <v>0.06471816283924843</v>
      </c>
      <c r="DK5" s="53">
        <f>38/488</f>
        <v>0.0778688524590164</v>
      </c>
      <c r="DL5" s="53">
        <f>225/487</f>
        <v>0.4620123203285421</v>
      </c>
      <c r="DM5" s="53">
        <f>154/486</f>
        <v>0.3168724279835391</v>
      </c>
      <c r="DN5" s="53">
        <f>216/484</f>
        <v>0.4462809917355372</v>
      </c>
      <c r="DO5" s="53">
        <f>202/483</f>
        <v>0.41821946169772256</v>
      </c>
      <c r="DP5" s="53">
        <f>224/486</f>
        <v>0.4609053497942387</v>
      </c>
      <c r="DQ5" s="53">
        <f aca="true" t="shared" si="0" ref="DQ5:EC5">212/492</f>
        <v>0.43089430894308944</v>
      </c>
      <c r="DR5" s="74">
        <f t="shared" si="0"/>
        <v>0.43089430894308944</v>
      </c>
      <c r="DS5" s="74">
        <f t="shared" si="0"/>
        <v>0.43089430894308944</v>
      </c>
      <c r="DT5" s="74">
        <f t="shared" si="0"/>
        <v>0.43089430894308944</v>
      </c>
      <c r="DU5" s="74">
        <f t="shared" si="0"/>
        <v>0.43089430894308944</v>
      </c>
      <c r="DV5" s="74">
        <f t="shared" si="0"/>
        <v>0.43089430894308944</v>
      </c>
      <c r="DW5" s="74">
        <f t="shared" si="0"/>
        <v>0.43089430894308944</v>
      </c>
      <c r="DX5" s="74">
        <f t="shared" si="0"/>
        <v>0.43089430894308944</v>
      </c>
      <c r="DY5" s="74">
        <f t="shared" si="0"/>
        <v>0.43089430894308944</v>
      </c>
      <c r="DZ5" s="74">
        <f t="shared" si="0"/>
        <v>0.43089430894308944</v>
      </c>
      <c r="EA5" s="74">
        <f t="shared" si="0"/>
        <v>0.43089430894308944</v>
      </c>
      <c r="EB5" s="74">
        <f t="shared" si="0"/>
        <v>0.43089430894308944</v>
      </c>
      <c r="EC5" s="74">
        <f t="shared" si="0"/>
        <v>0.43089430894308944</v>
      </c>
      <c r="ED5" s="7">
        <f>(EC5/DP5-1)*100</f>
        <v>-6.51132404181185</v>
      </c>
      <c r="EE5" s="11"/>
      <c r="EH5"/>
    </row>
    <row r="6" spans="1:138" ht="16.5" customHeight="1" hidden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34" t="s">
        <v>20</v>
      </c>
      <c r="EE6" s="12"/>
      <c r="EH6"/>
    </row>
    <row r="7" spans="1:138" ht="16.5" customHeight="1" hidden="1">
      <c r="A7" s="19" t="s">
        <v>23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21"/>
      <c r="EE7" s="17"/>
      <c r="EH7"/>
    </row>
    <row r="8" spans="1:138" ht="16.5" customHeight="1" hidden="1">
      <c r="A8" s="2" t="s">
        <v>2</v>
      </c>
      <c r="B8" s="8">
        <v>98.88</v>
      </c>
      <c r="C8" s="8">
        <v>98.88</v>
      </c>
      <c r="D8" s="8">
        <v>98.88</v>
      </c>
      <c r="E8" s="8">
        <v>99.25</v>
      </c>
      <c r="F8" s="8">
        <v>96.65</v>
      </c>
      <c r="G8" s="8">
        <v>93.33</v>
      </c>
      <c r="H8" s="8">
        <v>92.31</v>
      </c>
      <c r="I8" s="8">
        <v>93.68</v>
      </c>
      <c r="J8" s="8">
        <v>94.05</v>
      </c>
      <c r="K8" s="8">
        <v>92.58</v>
      </c>
      <c r="L8" s="8">
        <v>92.22</v>
      </c>
      <c r="M8" s="8">
        <v>92.58</v>
      </c>
      <c r="N8" s="8">
        <v>92.94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45" t="s">
        <v>49</v>
      </c>
      <c r="AJ8" s="45" t="s">
        <v>49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45" t="s">
        <v>49</v>
      </c>
      <c r="EE8" s="11"/>
      <c r="EH8"/>
    </row>
    <row r="9" spans="1:138" ht="16.5" customHeight="1" hidden="1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34" t="s">
        <v>13</v>
      </c>
      <c r="EE9" s="12"/>
      <c r="EH9"/>
    </row>
    <row r="10" spans="1:138" ht="16.5" customHeight="1" hidden="1">
      <c r="A10" s="19" t="s">
        <v>63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7"/>
      <c r="EE10" s="17"/>
      <c r="EH10"/>
    </row>
    <row r="11" spans="1:138" ht="16.5" customHeight="1" hidden="1">
      <c r="A11" s="2" t="s">
        <v>3</v>
      </c>
      <c r="B11" s="8">
        <v>1.12</v>
      </c>
      <c r="C11" s="8">
        <v>0.75</v>
      </c>
      <c r="D11" s="8">
        <v>1.12</v>
      </c>
      <c r="E11" s="36">
        <v>0</v>
      </c>
      <c r="F11" s="8">
        <v>4.09</v>
      </c>
      <c r="G11" s="8">
        <v>2.59</v>
      </c>
      <c r="H11" s="8">
        <v>1.1</v>
      </c>
      <c r="I11" s="8">
        <v>1.58</v>
      </c>
      <c r="J11" s="32">
        <v>0</v>
      </c>
      <c r="K11" s="32">
        <v>0</v>
      </c>
      <c r="L11" s="8">
        <v>1.17</v>
      </c>
      <c r="M11" s="8">
        <v>0.39</v>
      </c>
      <c r="N11" s="8">
        <v>0.78</v>
      </c>
      <c r="O11" s="32">
        <v>0</v>
      </c>
      <c r="P11" s="8">
        <v>0.84</v>
      </c>
      <c r="Q11" s="32">
        <v>0</v>
      </c>
      <c r="R11" s="8">
        <v>1.29</v>
      </c>
      <c r="S11" s="8">
        <v>3.45</v>
      </c>
      <c r="T11" s="8">
        <f>2/233*100</f>
        <v>0.8583690987124464</v>
      </c>
      <c r="U11" s="8">
        <v>0.87</v>
      </c>
      <c r="V11" s="8">
        <f>3/236*100</f>
        <v>1.2711864406779663</v>
      </c>
      <c r="W11" s="8">
        <f>5/239*100</f>
        <v>2.092050209205021</v>
      </c>
      <c r="X11" s="8">
        <f>3/240*100</f>
        <v>1.25</v>
      </c>
      <c r="Y11" s="8">
        <f>2/239*100</f>
        <v>0.8368200836820083</v>
      </c>
      <c r="Z11" s="8">
        <f>3/239*100</f>
        <v>1.2552301255230125</v>
      </c>
      <c r="AA11" s="8">
        <f>4/240*100</f>
        <v>1.6666666666666667</v>
      </c>
      <c r="AB11" s="8">
        <f>2/240*100</f>
        <v>0.8333333333333334</v>
      </c>
      <c r="AC11" s="8">
        <f>2/239*100</f>
        <v>0.8368200836820083</v>
      </c>
      <c r="AD11" s="8">
        <f>10/237*100</f>
        <v>4.219409282700422</v>
      </c>
      <c r="AE11" s="8">
        <f>6/251*100</f>
        <v>2.3904382470119523</v>
      </c>
      <c r="AF11" s="8">
        <f>9/249*100</f>
        <v>3.614457831325301</v>
      </c>
      <c r="AG11" s="8">
        <f>2/244*100</f>
        <v>0.819672131147541</v>
      </c>
      <c r="AH11" s="8">
        <f>7/246*100</f>
        <v>2.8455284552845526</v>
      </c>
      <c r="AI11" s="8">
        <f>4/248*100</f>
        <v>1.6129032258064515</v>
      </c>
      <c r="AJ11" s="46">
        <v>0</v>
      </c>
      <c r="AK11" s="8">
        <f>38/248*100</f>
        <v>15.32258064516129</v>
      </c>
      <c r="AL11" s="8">
        <f>3/247*100</f>
        <v>1.214574898785425</v>
      </c>
      <c r="AM11" s="7" t="s">
        <v>73</v>
      </c>
      <c r="AN11" s="8">
        <f>1/248*100</f>
        <v>0.4032258064516129</v>
      </c>
      <c r="AO11" s="8">
        <f>2/247*100</f>
        <v>0.8097165991902834</v>
      </c>
      <c r="AP11" s="8">
        <f>6/244*100</f>
        <v>2.459016393442623</v>
      </c>
      <c r="AQ11" s="8">
        <f>2/245*100</f>
        <v>0.8163265306122449</v>
      </c>
      <c r="AR11" s="8">
        <f>5/243*100</f>
        <v>2.05761316872428</v>
      </c>
      <c r="AS11" s="8">
        <f>10/243*100</f>
        <v>4.11522633744856</v>
      </c>
      <c r="AT11" s="32">
        <v>0</v>
      </c>
      <c r="AU11" s="8">
        <f>4/244*100</f>
        <v>1.639344262295082</v>
      </c>
      <c r="AV11" s="8">
        <f>5/241*100</f>
        <v>2.0746887966804977</v>
      </c>
      <c r="AW11" s="8">
        <f>3/242*100</f>
        <v>1.2396694214876034</v>
      </c>
      <c r="AX11" s="8">
        <f>2/242*100</f>
        <v>0.8264462809917356</v>
      </c>
      <c r="AY11" s="8">
        <f>4/243*100</f>
        <v>1.646090534979424</v>
      </c>
      <c r="AZ11" s="8">
        <f>3/245*100</f>
        <v>1.2244897959183674</v>
      </c>
      <c r="BA11" s="8">
        <f>3/246*100</f>
        <v>1.2195121951219512</v>
      </c>
      <c r="BB11" s="8">
        <f>4/246*100</f>
        <v>1.6260162601626018</v>
      </c>
      <c r="BC11" s="8">
        <f>1/246*100</f>
        <v>0.40650406504065045</v>
      </c>
      <c r="BD11" s="8">
        <f>2/246*100</f>
        <v>0.8130081300813009</v>
      </c>
      <c r="BE11" s="8">
        <f>4/246*100</f>
        <v>1.6260162601626018</v>
      </c>
      <c r="BF11" s="8">
        <f>3/249*100</f>
        <v>1.2048192771084338</v>
      </c>
      <c r="BG11" s="8">
        <f>5/249*100</f>
        <v>2.0080321285140563</v>
      </c>
      <c r="BH11" s="8">
        <f>1/251*100</f>
        <v>0.398406374501992</v>
      </c>
      <c r="BI11" s="8">
        <f>3/259*100</f>
        <v>1.1583011583011582</v>
      </c>
      <c r="BJ11" s="8">
        <f>4/261*100</f>
        <v>1.532567049808429</v>
      </c>
      <c r="BK11" s="32">
        <v>0</v>
      </c>
      <c r="BL11" s="8">
        <f>2/278*100</f>
        <v>0.7194244604316548</v>
      </c>
      <c r="BM11" s="32">
        <v>0</v>
      </c>
      <c r="BN11" s="8">
        <f>1/289*100</f>
        <v>0.34602076124567477</v>
      </c>
      <c r="BO11" s="8">
        <f>3/292*100</f>
        <v>1.0273972602739725</v>
      </c>
      <c r="BP11" s="8">
        <f>4/301*100</f>
        <v>1.3289036544850499</v>
      </c>
      <c r="BQ11" s="32">
        <v>0</v>
      </c>
      <c r="BR11" s="8">
        <v>0.66</v>
      </c>
      <c r="BS11" s="32">
        <v>0</v>
      </c>
      <c r="BT11" s="8">
        <f>1/309*100</f>
        <v>0.3236245954692557</v>
      </c>
      <c r="BU11" s="8">
        <f>3/311*100</f>
        <v>0.964630225080386</v>
      </c>
      <c r="BV11" s="8">
        <f>4/314*100</f>
        <v>1.2738853503184715</v>
      </c>
      <c r="BW11" s="36">
        <v>0</v>
      </c>
      <c r="BX11" s="8">
        <f>5/319*100</f>
        <v>1.5673981191222568</v>
      </c>
      <c r="BY11" s="8">
        <f>1/323*100</f>
        <v>0.30959752321981426</v>
      </c>
      <c r="BZ11" s="8">
        <f>0/320*100</f>
        <v>0</v>
      </c>
      <c r="CA11" s="8">
        <f>1/319*100</f>
        <v>0.3134796238244514</v>
      </c>
      <c r="CB11" s="8">
        <f>1/319*100</f>
        <v>0.3134796238244514</v>
      </c>
      <c r="CC11" s="8">
        <f>5/323*100</f>
        <v>1.5479876160990713</v>
      </c>
      <c r="CD11" s="8">
        <f>7/325*100</f>
        <v>2.1538461538461537</v>
      </c>
      <c r="CE11" s="8">
        <f>4/328*100</f>
        <v>1.2195121951219512</v>
      </c>
      <c r="CF11" s="36">
        <f>0/332*100</f>
        <v>0</v>
      </c>
      <c r="CG11" s="36">
        <f>0/332*100</f>
        <v>0</v>
      </c>
      <c r="CH11" s="8">
        <f>1/332*100</f>
        <v>0.30120481927710846</v>
      </c>
      <c r="CI11" s="36">
        <f>0/332*100</f>
        <v>0</v>
      </c>
      <c r="CJ11" s="36">
        <f>0/335*100</f>
        <v>0</v>
      </c>
      <c r="CK11" s="36">
        <f>0/345*100</f>
        <v>0</v>
      </c>
      <c r="CL11" s="8">
        <f>1/345*100</f>
        <v>0.2898550724637681</v>
      </c>
      <c r="CM11" s="8">
        <f>1/347*100</f>
        <v>0.2881844380403458</v>
      </c>
      <c r="CN11" s="8">
        <f>1/363*100</f>
        <v>0.27548209366391185</v>
      </c>
      <c r="CO11" s="8">
        <f>1/370*100</f>
        <v>0.2702702702702703</v>
      </c>
      <c r="CP11" s="8">
        <f>2/376*100</f>
        <v>0.5319148936170213</v>
      </c>
      <c r="CQ11" s="8">
        <f>3/383*100</f>
        <v>0.7832898172323759</v>
      </c>
      <c r="CR11" s="48">
        <f>0/383*100</f>
        <v>0</v>
      </c>
      <c r="CS11" s="48">
        <f>0/383*100</f>
        <v>0</v>
      </c>
      <c r="CT11" s="53">
        <f>5/385*100</f>
        <v>1.2987012987012987</v>
      </c>
      <c r="CU11" s="48">
        <f>0/391*100</f>
        <v>0</v>
      </c>
      <c r="CV11" s="53">
        <f>3/392*100</f>
        <v>0.7653061224489796</v>
      </c>
      <c r="CW11" s="54">
        <f>0/406*100</f>
        <v>0</v>
      </c>
      <c r="CX11" s="53">
        <f>1/409*100</f>
        <v>0.24449877750611246</v>
      </c>
      <c r="CY11" s="54">
        <f>0/416*100</f>
        <v>0</v>
      </c>
      <c r="CZ11" s="53">
        <f>1/439*100</f>
        <v>0.22779043280182232</v>
      </c>
      <c r="DA11" s="53">
        <f>4/437*100</f>
        <v>0.9153318077803204</v>
      </c>
      <c r="DB11" s="53">
        <f>1/446*100</f>
        <v>0.2242152466367713</v>
      </c>
      <c r="DC11" s="53">
        <f>3/440*100</f>
        <v>0.6818181818181818</v>
      </c>
      <c r="DD11" s="53">
        <f>2/453*100</f>
        <v>0.44150110375275936</v>
      </c>
      <c r="DE11" s="53">
        <f>3/460*100</f>
        <v>0.6521739130434783</v>
      </c>
      <c r="DF11" s="53">
        <f>2/465*100</f>
        <v>0.43010752688172044</v>
      </c>
      <c r="DG11" s="53">
        <f>1/477*100</f>
        <v>0.20964360587002098</v>
      </c>
      <c r="DH11" s="53">
        <f>2/482*100</f>
        <v>0.4149377593360996</v>
      </c>
      <c r="DI11" s="53">
        <f>2/479*100</f>
        <v>0.41753653444676403</v>
      </c>
      <c r="DJ11" s="53">
        <f>2/479*100</f>
        <v>0.41753653444676403</v>
      </c>
      <c r="DK11" s="53">
        <f>1/488*100</f>
        <v>0.20491803278688525</v>
      </c>
      <c r="DL11" s="53">
        <f>2/487*100</f>
        <v>0.41067761806981523</v>
      </c>
      <c r="DM11" s="72">
        <f>0/486*100</f>
        <v>0</v>
      </c>
      <c r="DN11" s="53">
        <f>2/484*100</f>
        <v>0.4132231404958678</v>
      </c>
      <c r="DO11" s="53">
        <f>3/483*100</f>
        <v>0.6211180124223602</v>
      </c>
      <c r="DP11" s="53">
        <f>1/486*100</f>
        <v>0.205761316872428</v>
      </c>
      <c r="DQ11" s="71">
        <f aca="true" t="shared" si="1" ref="DQ11:EC11">0/492*100</f>
        <v>0</v>
      </c>
      <c r="DR11" s="75">
        <f t="shared" si="1"/>
        <v>0</v>
      </c>
      <c r="DS11" s="75">
        <f t="shared" si="1"/>
        <v>0</v>
      </c>
      <c r="DT11" s="75">
        <f t="shared" si="1"/>
        <v>0</v>
      </c>
      <c r="DU11" s="75">
        <f t="shared" si="1"/>
        <v>0</v>
      </c>
      <c r="DV11" s="75">
        <f t="shared" si="1"/>
        <v>0</v>
      </c>
      <c r="DW11" s="75">
        <f t="shared" si="1"/>
        <v>0</v>
      </c>
      <c r="DX11" s="75">
        <f t="shared" si="1"/>
        <v>0</v>
      </c>
      <c r="DY11" s="75">
        <f t="shared" si="1"/>
        <v>0</v>
      </c>
      <c r="DZ11" s="75">
        <f t="shared" si="1"/>
        <v>0</v>
      </c>
      <c r="EA11" s="75">
        <f t="shared" si="1"/>
        <v>0</v>
      </c>
      <c r="EB11" s="75">
        <f t="shared" si="1"/>
        <v>0</v>
      </c>
      <c r="EC11" s="75">
        <f t="shared" si="1"/>
        <v>0</v>
      </c>
      <c r="ED11" s="7">
        <f>EC11-DP11</f>
        <v>-0.205761316872428</v>
      </c>
      <c r="EE11" s="11"/>
      <c r="EH11"/>
    </row>
    <row r="12" spans="1:138" ht="16.5" customHeight="1" hidden="1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34" t="s">
        <v>13</v>
      </c>
      <c r="EE12" s="12"/>
      <c r="EH12"/>
    </row>
    <row r="13" spans="1:138" ht="16.5" customHeight="1" hidden="1">
      <c r="A13" s="19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21"/>
      <c r="EE13" s="17"/>
      <c r="EH13"/>
    </row>
    <row r="14" spans="1:138" ht="16.5" customHeight="1" hidden="1">
      <c r="A14" s="2" t="s">
        <v>4</v>
      </c>
      <c r="B14" s="8">
        <v>2.39</v>
      </c>
      <c r="C14" s="8">
        <v>6.49</v>
      </c>
      <c r="D14" s="8">
        <v>5.47</v>
      </c>
      <c r="E14" s="8">
        <v>2.12</v>
      </c>
      <c r="F14" s="8">
        <v>3.24</v>
      </c>
      <c r="G14" s="8">
        <v>1.14</v>
      </c>
      <c r="H14" s="8">
        <v>5.07</v>
      </c>
      <c r="I14" s="8">
        <v>0.8</v>
      </c>
      <c r="J14" s="8">
        <v>2.13</v>
      </c>
      <c r="K14" s="8">
        <v>2.41</v>
      </c>
      <c r="L14" s="8">
        <v>7.7</v>
      </c>
      <c r="M14" s="8">
        <v>31.76</v>
      </c>
      <c r="N14" s="32">
        <v>0</v>
      </c>
      <c r="O14" s="8">
        <v>7.09</v>
      </c>
      <c r="P14" s="8">
        <v>4.24</v>
      </c>
      <c r="Q14" s="8">
        <v>6.46</v>
      </c>
      <c r="R14" s="8">
        <v>8.69</v>
      </c>
      <c r="S14" s="8">
        <v>3.01</v>
      </c>
      <c r="T14" s="8">
        <v>3.48</v>
      </c>
      <c r="U14" s="8">
        <v>2.6</v>
      </c>
      <c r="V14" s="8">
        <f>12/461*100</f>
        <v>2.6030368763557483</v>
      </c>
      <c r="W14" s="8">
        <f>6/438*100</f>
        <v>1.36986301369863</v>
      </c>
      <c r="X14" s="8">
        <f>16/478*100</f>
        <v>3.3472803347280333</v>
      </c>
      <c r="Y14" s="8">
        <f>17/448*100</f>
        <v>3.7946428571428568</v>
      </c>
      <c r="Z14" s="8">
        <f>10/429*100</f>
        <v>2.331002331002331</v>
      </c>
      <c r="AA14" s="8">
        <f>13/441*100</f>
        <v>2.947845804988662</v>
      </c>
      <c r="AB14" s="8">
        <f>10/232*100</f>
        <v>4.310344827586207</v>
      </c>
      <c r="AC14" s="8">
        <f>7/421*100</f>
        <v>1.66270783847981</v>
      </c>
      <c r="AD14" s="8">
        <v>0</v>
      </c>
      <c r="AE14" s="8">
        <v>0</v>
      </c>
      <c r="AF14" s="8">
        <v>0</v>
      </c>
      <c r="AG14" s="8">
        <f>3/381*100</f>
        <v>0.7874015748031495</v>
      </c>
      <c r="AH14" s="8">
        <f>5/387*100</f>
        <v>1.2919896640826873</v>
      </c>
      <c r="AI14" s="8">
        <f>8/440*100</f>
        <v>1.8181818181818181</v>
      </c>
      <c r="AJ14" s="8">
        <f>11/419*100</f>
        <v>2.6252983293556085</v>
      </c>
      <c r="AK14" s="8">
        <f>8/409*100</f>
        <v>1.9559902200488997</v>
      </c>
      <c r="AL14" s="8">
        <f>1/349*100</f>
        <v>0.28653295128939826</v>
      </c>
      <c r="AM14" s="8">
        <f>4/275*100</f>
        <v>1.4545454545454546</v>
      </c>
      <c r="AN14" s="8">
        <f>6/320*100</f>
        <v>1.875</v>
      </c>
      <c r="AO14" s="8">
        <f>1/143*100</f>
        <v>0.6993006993006993</v>
      </c>
      <c r="AP14" s="8">
        <f>5/379*100</f>
        <v>1.3192612137203166</v>
      </c>
      <c r="AQ14" s="8">
        <f>12/332*100</f>
        <v>3.614457831325301</v>
      </c>
      <c r="AR14" s="8">
        <f>12/332*100</f>
        <v>3.614457831325301</v>
      </c>
      <c r="AS14" s="8">
        <f>9/352*100</f>
        <v>2.556818181818182</v>
      </c>
      <c r="AT14" s="8">
        <f>12/324*100</f>
        <v>3.7037037037037033</v>
      </c>
      <c r="AU14" s="8">
        <f>14/294*100</f>
        <v>4.761904761904762</v>
      </c>
      <c r="AV14" s="8">
        <f>7/294*100</f>
        <v>2.380952380952381</v>
      </c>
      <c r="AW14" s="8">
        <f>12/276*100</f>
        <v>4.3478260869565215</v>
      </c>
      <c r="AX14" s="32">
        <v>0</v>
      </c>
      <c r="AY14" s="32">
        <v>0</v>
      </c>
      <c r="AZ14" s="32">
        <v>0</v>
      </c>
      <c r="BA14" s="8">
        <f>13/301*100</f>
        <v>4.318936877076411</v>
      </c>
      <c r="BB14" s="8">
        <f>18/322*100</f>
        <v>5.590062111801243</v>
      </c>
      <c r="BC14" s="8">
        <f>20/393*100</f>
        <v>5.089058524173027</v>
      </c>
      <c r="BD14" s="8">
        <f>10/287*100</f>
        <v>3.484320557491289</v>
      </c>
      <c r="BE14" s="8">
        <f>8/214*100</f>
        <v>3.7383177570093453</v>
      </c>
      <c r="BF14" s="8">
        <f>19/397*100</f>
        <v>4.785894206549118</v>
      </c>
      <c r="BG14" s="8">
        <f>15/308*100</f>
        <v>4.870129870129871</v>
      </c>
      <c r="BH14" s="8">
        <f>8/345*100</f>
        <v>2.318840579710145</v>
      </c>
      <c r="BI14" s="8">
        <f>6/175*100</f>
        <v>3.428571428571429</v>
      </c>
      <c r="BJ14" s="8">
        <f>1/28*100</f>
        <v>3.571428571428571</v>
      </c>
      <c r="BK14" s="8">
        <f>1/8*100</f>
        <v>12.5</v>
      </c>
      <c r="BL14" s="32">
        <v>0</v>
      </c>
      <c r="BM14" s="8">
        <f>7/184*100</f>
        <v>3.804347826086957</v>
      </c>
      <c r="BN14" s="8">
        <f>5/255*100</f>
        <v>1.9607843137254901</v>
      </c>
      <c r="BO14" s="8">
        <f>11/293*100</f>
        <v>3.754266211604096</v>
      </c>
      <c r="BP14" s="8">
        <f>15/375*100</f>
        <v>4</v>
      </c>
      <c r="BQ14" s="8">
        <v>5.91</v>
      </c>
      <c r="BR14" s="8">
        <v>9.9</v>
      </c>
      <c r="BS14" s="8">
        <v>3.83</v>
      </c>
      <c r="BT14" s="8">
        <f>17/332*100</f>
        <v>5.120481927710843</v>
      </c>
      <c r="BU14" s="8">
        <f>4/56*100</f>
        <v>7.142857142857142</v>
      </c>
      <c r="BV14" s="8">
        <f>1/57*100</f>
        <v>1.7543859649122806</v>
      </c>
      <c r="BW14" s="8">
        <f>8/137*100</f>
        <v>5.839416058394161</v>
      </c>
      <c r="BX14" s="8">
        <f>21/271*100</f>
        <v>7.7490774907749085</v>
      </c>
      <c r="BY14" s="8">
        <f>15/239*100</f>
        <v>6.2761506276150625</v>
      </c>
      <c r="BZ14" s="8">
        <f>12/235*100</f>
        <v>5.106382978723404</v>
      </c>
      <c r="CA14" s="8">
        <f>13/279*100</f>
        <v>4.659498207885305</v>
      </c>
      <c r="CB14" s="8">
        <f>13/231*100</f>
        <v>5.627705627705628</v>
      </c>
      <c r="CC14" s="8">
        <f>12/274*100</f>
        <v>4.37956204379562</v>
      </c>
      <c r="CD14" s="8">
        <f>7/195*100</f>
        <v>3.5897435897435894</v>
      </c>
      <c r="CE14" s="8">
        <f>3/205*100</f>
        <v>1.4634146341463417</v>
      </c>
      <c r="CF14" s="8">
        <f>8/272*100</f>
        <v>2.941176470588235</v>
      </c>
      <c r="CG14" s="8">
        <f>11/385*100</f>
        <v>2.857142857142857</v>
      </c>
      <c r="CH14" s="8">
        <f>9/249*100</f>
        <v>3.614457831325301</v>
      </c>
      <c r="CI14" s="8">
        <f>8/200*100</f>
        <v>4</v>
      </c>
      <c r="CJ14" s="8">
        <f>19/335*100</f>
        <v>5.6716417910447765</v>
      </c>
      <c r="CK14" s="8">
        <f>13/278*100</f>
        <v>4.676258992805756</v>
      </c>
      <c r="CL14" s="8">
        <f>12/313*100</f>
        <v>3.8338658146964857</v>
      </c>
      <c r="CM14" s="8">
        <f>12/262*100</f>
        <v>4.580152671755725</v>
      </c>
      <c r="CN14" s="8">
        <f>15/386*100</f>
        <v>3.8860103626943006</v>
      </c>
      <c r="CO14" s="8">
        <f>21/448*100</f>
        <v>4.6875</v>
      </c>
      <c r="CP14" s="8">
        <f>18/355*100</f>
        <v>5.070422535211268</v>
      </c>
      <c r="CQ14" s="8">
        <f>14/410*100</f>
        <v>3.414634146341464</v>
      </c>
      <c r="CR14" s="8">
        <f>17/474*100</f>
        <v>3.5864978902953584</v>
      </c>
      <c r="CS14" s="53">
        <f>16/591*100</f>
        <v>2.707275803722504</v>
      </c>
      <c r="CT14" s="53">
        <f>12/377*100</f>
        <v>3.183023872679045</v>
      </c>
      <c r="CU14" s="53">
        <f>35/299*100</f>
        <v>11.705685618729097</v>
      </c>
      <c r="CV14" s="53">
        <f>39/417*100</f>
        <v>9.352517985611511</v>
      </c>
      <c r="CW14" s="53">
        <f>19/364*100</f>
        <v>5.21978021978022</v>
      </c>
      <c r="CX14" s="53">
        <f>22/399*100</f>
        <v>5.513784461152882</v>
      </c>
      <c r="CY14" s="53">
        <f>37/481*100</f>
        <v>7.6923076923076925</v>
      </c>
      <c r="CZ14" s="53">
        <f>35/492*100</f>
        <v>7.113821138211382</v>
      </c>
      <c r="DA14" s="53">
        <f>28/989*100</f>
        <v>2.8311425682507583</v>
      </c>
      <c r="DB14" s="53">
        <f>34/472*100</f>
        <v>7.203389830508475</v>
      </c>
      <c r="DC14" s="53">
        <f>39/523*100</f>
        <v>7.45697896749522</v>
      </c>
      <c r="DD14" s="53">
        <f>8.04</f>
        <v>8.04</v>
      </c>
      <c r="DE14" s="53">
        <f>12/422*100</f>
        <v>2.843601895734597</v>
      </c>
      <c r="DF14" s="53">
        <f>25/306*100</f>
        <v>8.169934640522875</v>
      </c>
      <c r="DG14" s="53">
        <f>35/412*100</f>
        <v>8.495145631067961</v>
      </c>
      <c r="DH14" s="53">
        <f>33/566*100</f>
        <v>5.830388692579505</v>
      </c>
      <c r="DI14" s="53">
        <f>47/561*100</f>
        <v>8.377896613190732</v>
      </c>
      <c r="DJ14" s="53">
        <f>45/404*100</f>
        <v>11.138613861386139</v>
      </c>
      <c r="DK14" s="53">
        <f>48/533*100</f>
        <v>9.00562851782364</v>
      </c>
      <c r="DL14" s="53">
        <f>35/541*100</f>
        <v>6.469500924214418</v>
      </c>
      <c r="DM14" s="53">
        <f>45/451*100</f>
        <v>9.977827050997783</v>
      </c>
      <c r="DN14" s="53">
        <f>62/484*100</f>
        <v>12.8099173553719</v>
      </c>
      <c r="DO14" s="53">
        <f>40/417*100</f>
        <v>9.59232613908873</v>
      </c>
      <c r="DP14" s="53">
        <f>52/406*100</f>
        <v>12.807881773399016</v>
      </c>
      <c r="DQ14" s="53">
        <f>17/408*100</f>
        <v>4.166666666666666</v>
      </c>
      <c r="DR14" s="54">
        <v>0</v>
      </c>
      <c r="DS14" s="54">
        <v>0</v>
      </c>
      <c r="DT14" s="54">
        <v>0</v>
      </c>
      <c r="DU14" s="54">
        <v>0</v>
      </c>
      <c r="DV14" s="54">
        <v>0</v>
      </c>
      <c r="DW14" s="54">
        <v>0</v>
      </c>
      <c r="DX14" s="54">
        <v>0</v>
      </c>
      <c r="DY14" s="54">
        <v>0</v>
      </c>
      <c r="DZ14" s="54">
        <v>0</v>
      </c>
      <c r="EA14" s="54">
        <v>0</v>
      </c>
      <c r="EB14" s="54">
        <v>0</v>
      </c>
      <c r="EC14" s="54">
        <v>0</v>
      </c>
      <c r="ED14" s="54">
        <v>0</v>
      </c>
      <c r="EE14" s="11"/>
      <c r="EH14"/>
    </row>
    <row r="15" spans="1:138" ht="16.5" customHeight="1" hidden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34" t="s">
        <v>13</v>
      </c>
      <c r="EE15" s="12"/>
      <c r="EH15"/>
    </row>
    <row r="16" spans="1:138" ht="16.5" customHeight="1">
      <c r="A16" s="19" t="s">
        <v>156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21"/>
      <c r="EE16" s="17"/>
      <c r="EH16"/>
    </row>
    <row r="17" spans="1:138" ht="16.5" customHeight="1">
      <c r="A17" s="2" t="s">
        <v>0</v>
      </c>
      <c r="B17" s="8">
        <v>73.33</v>
      </c>
      <c r="C17" s="8">
        <v>45</v>
      </c>
      <c r="D17" s="8">
        <v>50</v>
      </c>
      <c r="E17" s="36">
        <v>0</v>
      </c>
      <c r="F17" s="8">
        <v>49.09</v>
      </c>
      <c r="G17" s="8">
        <v>42.86</v>
      </c>
      <c r="H17" s="8">
        <v>40</v>
      </c>
      <c r="I17" s="8">
        <v>52.5</v>
      </c>
      <c r="J17" s="32">
        <v>0</v>
      </c>
      <c r="K17" s="32">
        <v>0</v>
      </c>
      <c r="L17" s="8">
        <v>10</v>
      </c>
      <c r="M17" s="8">
        <v>60</v>
      </c>
      <c r="N17" s="8">
        <v>60</v>
      </c>
      <c r="O17" s="32">
        <v>0</v>
      </c>
      <c r="P17" s="8">
        <v>45</v>
      </c>
      <c r="Q17" s="32">
        <v>0</v>
      </c>
      <c r="R17" s="8">
        <v>60</v>
      </c>
      <c r="S17" s="8">
        <v>56.67</v>
      </c>
      <c r="T17" s="8">
        <v>60</v>
      </c>
      <c r="U17" s="8">
        <v>60</v>
      </c>
      <c r="V17" s="8">
        <v>60</v>
      </c>
      <c r="W17" s="8">
        <f>200/4</f>
        <v>50</v>
      </c>
      <c r="X17" s="8">
        <f>180/3</f>
        <v>60</v>
      </c>
      <c r="Y17" s="8">
        <f>180/3</f>
        <v>60</v>
      </c>
      <c r="Z17" s="8">
        <f>100/1</f>
        <v>100</v>
      </c>
      <c r="AA17" s="8">
        <v>60</v>
      </c>
      <c r="AB17" s="8">
        <v>62</v>
      </c>
      <c r="AC17" s="8">
        <v>50</v>
      </c>
      <c r="AD17" s="8">
        <v>44</v>
      </c>
      <c r="AE17" s="8">
        <v>45</v>
      </c>
      <c r="AF17" s="8">
        <f>720/13</f>
        <v>55.38461538461539</v>
      </c>
      <c r="AG17" s="8">
        <f>60/1</f>
        <v>60</v>
      </c>
      <c r="AH17" s="8">
        <f>180/3</f>
        <v>60</v>
      </c>
      <c r="AI17" s="8">
        <f>270/5</f>
        <v>54</v>
      </c>
      <c r="AJ17" s="8">
        <f>60/1</f>
        <v>60</v>
      </c>
      <c r="AK17" s="8">
        <f>240/5</f>
        <v>48</v>
      </c>
      <c r="AL17" s="8">
        <f>300/5</f>
        <v>60</v>
      </c>
      <c r="AM17" s="8" t="s">
        <v>49</v>
      </c>
      <c r="AN17" s="8" t="s">
        <v>49</v>
      </c>
      <c r="AO17" s="8">
        <f>120/14</f>
        <v>8.571428571428571</v>
      </c>
      <c r="AP17" s="8">
        <f>600/10</f>
        <v>60</v>
      </c>
      <c r="AQ17" s="8">
        <f>180/13</f>
        <v>13.846153846153847</v>
      </c>
      <c r="AR17" s="8">
        <f>270/3</f>
        <v>90</v>
      </c>
      <c r="AS17" s="8">
        <f>570/17</f>
        <v>33.529411764705884</v>
      </c>
      <c r="AT17" s="8">
        <f>116/2</f>
        <v>58</v>
      </c>
      <c r="AU17" s="8">
        <f>270/16</f>
        <v>16.875</v>
      </c>
      <c r="AV17" s="8">
        <f>260/16</f>
        <v>16.25</v>
      </c>
      <c r="AW17" s="8">
        <f>300/9</f>
        <v>33.333333333333336</v>
      </c>
      <c r="AX17" s="8">
        <f>120/8</f>
        <v>15</v>
      </c>
      <c r="AY17" s="8">
        <f>120/13</f>
        <v>9.23076923076923</v>
      </c>
      <c r="AZ17" s="8">
        <f>60/9</f>
        <v>6.666666666666667</v>
      </c>
      <c r="BA17" s="8">
        <f>240/13</f>
        <v>18.46153846153846</v>
      </c>
      <c r="BB17" s="8">
        <f>240/5</f>
        <v>48</v>
      </c>
      <c r="BC17" s="8">
        <f>120/11</f>
        <v>10.909090909090908</v>
      </c>
      <c r="BD17" s="8">
        <f>320/2</f>
        <v>160</v>
      </c>
      <c r="BE17" s="8">
        <f>180/3</f>
        <v>60</v>
      </c>
      <c r="BF17" s="8">
        <f>320/2</f>
        <v>160</v>
      </c>
      <c r="BG17" s="8">
        <f>410/2</f>
        <v>205</v>
      </c>
      <c r="BH17" s="8">
        <f>60/4</f>
        <v>15</v>
      </c>
      <c r="BI17" s="8">
        <f>120/2</f>
        <v>60</v>
      </c>
      <c r="BJ17" s="8">
        <f>180/3</f>
        <v>60</v>
      </c>
      <c r="BK17" s="8">
        <f>150/3</f>
        <v>50</v>
      </c>
      <c r="BL17" s="8">
        <f>120/2</f>
        <v>60</v>
      </c>
      <c r="BM17" s="32">
        <v>0</v>
      </c>
      <c r="BN17" s="8">
        <f>60/9</f>
        <v>6.666666666666667</v>
      </c>
      <c r="BO17" s="8">
        <f>120/5</f>
        <v>24</v>
      </c>
      <c r="BP17" s="8">
        <f>120/2</f>
        <v>60</v>
      </c>
      <c r="BQ17" s="32">
        <v>0</v>
      </c>
      <c r="BR17" s="32">
        <v>0</v>
      </c>
      <c r="BS17" s="32">
        <v>0</v>
      </c>
      <c r="BT17" s="8">
        <f>60/1</f>
        <v>60</v>
      </c>
      <c r="BU17" s="8">
        <f>180/3</f>
        <v>60</v>
      </c>
      <c r="BV17" s="8">
        <f>60/6</f>
        <v>10</v>
      </c>
      <c r="BW17" s="8">
        <f>30/8</f>
        <v>3.75</v>
      </c>
      <c r="BX17" s="8">
        <f>420/8</f>
        <v>52.5</v>
      </c>
      <c r="BY17" s="8">
        <f>60/7</f>
        <v>8.571428571428571</v>
      </c>
      <c r="BZ17" s="36">
        <f>0/3</f>
        <v>0</v>
      </c>
      <c r="CA17" s="36">
        <f>0/5</f>
        <v>0</v>
      </c>
      <c r="CB17" s="47">
        <f>150/1</f>
        <v>150</v>
      </c>
      <c r="CC17" s="47">
        <f>180/3</f>
        <v>60</v>
      </c>
      <c r="CD17" s="47">
        <f>510/3</f>
        <v>170</v>
      </c>
      <c r="CE17" s="47">
        <f>270/4</f>
        <v>67.5</v>
      </c>
      <c r="CF17" s="48">
        <f>0/6</f>
        <v>0</v>
      </c>
      <c r="CG17" s="47">
        <f>60/7</f>
        <v>8.571428571428571</v>
      </c>
      <c r="CH17" s="47">
        <f>60/7</f>
        <v>8.571428571428571</v>
      </c>
      <c r="CI17" s="48">
        <f>0/11</f>
        <v>0</v>
      </c>
      <c r="CJ17" s="48">
        <f>0/8</f>
        <v>0</v>
      </c>
      <c r="CK17" s="48">
        <f>0/6</f>
        <v>0</v>
      </c>
      <c r="CL17" s="47">
        <f>120/6</f>
        <v>20</v>
      </c>
      <c r="CM17" s="47">
        <f>120/5</f>
        <v>24</v>
      </c>
      <c r="CN17" s="47">
        <f>60/6</f>
        <v>10</v>
      </c>
      <c r="CO17" s="47">
        <f>240/3</f>
        <v>80</v>
      </c>
      <c r="CP17" s="47">
        <f>140/8</f>
        <v>17.5</v>
      </c>
      <c r="CQ17" s="47">
        <f>180/6</f>
        <v>30</v>
      </c>
      <c r="CR17" s="48">
        <f>0/4</f>
        <v>0</v>
      </c>
      <c r="CS17" s="48">
        <f>0/4</f>
        <v>0</v>
      </c>
      <c r="CT17" s="47">
        <f>240/1</f>
        <v>240</v>
      </c>
      <c r="CU17" s="48">
        <f>0/2</f>
        <v>0</v>
      </c>
      <c r="CV17" s="47">
        <f>60/1</f>
        <v>60</v>
      </c>
      <c r="CW17" s="47">
        <f>30/2</f>
        <v>15</v>
      </c>
      <c r="CX17" s="47">
        <f>170/3</f>
        <v>56.666666666666664</v>
      </c>
      <c r="CY17" s="48">
        <f>0</f>
        <v>0</v>
      </c>
      <c r="CZ17" s="47">
        <f>60/1</f>
        <v>60</v>
      </c>
      <c r="DA17" s="56">
        <f>180/3</f>
        <v>60</v>
      </c>
      <c r="DB17" s="56">
        <f>180/3</f>
        <v>60</v>
      </c>
      <c r="DC17" s="56">
        <f>250/1</f>
        <v>250</v>
      </c>
      <c r="DD17" s="56">
        <f>170/1</f>
        <v>170</v>
      </c>
      <c r="DE17" s="56">
        <f>200/3</f>
        <v>66.66666666666667</v>
      </c>
      <c r="DF17" s="71">
        <f>0/246</f>
        <v>0</v>
      </c>
      <c r="DG17" s="56">
        <f>80/1</f>
        <v>80</v>
      </c>
      <c r="DH17" s="56">
        <f>20/2</f>
        <v>10</v>
      </c>
      <c r="DI17" s="56">
        <f>170/2</f>
        <v>85</v>
      </c>
      <c r="DJ17" s="56">
        <f>140/2</f>
        <v>70</v>
      </c>
      <c r="DK17" s="56">
        <f>230/3</f>
        <v>76.66666666666667</v>
      </c>
      <c r="DL17" s="56">
        <f>120/4</f>
        <v>30</v>
      </c>
      <c r="DM17" s="72">
        <f>0/4</f>
        <v>0</v>
      </c>
      <c r="DN17" s="56">
        <f>100/2</f>
        <v>50</v>
      </c>
      <c r="DO17" s="56">
        <f>180/2</f>
        <v>90</v>
      </c>
      <c r="DP17" s="56">
        <f>110/1</f>
        <v>110</v>
      </c>
      <c r="DQ17" s="71">
        <f>0/1</f>
        <v>0</v>
      </c>
      <c r="DR17" s="56">
        <f>10/1</f>
        <v>10</v>
      </c>
      <c r="DS17" s="56">
        <f>130/2</f>
        <v>65</v>
      </c>
      <c r="DT17" s="56">
        <f>100/4</f>
        <v>25</v>
      </c>
      <c r="DU17" s="56">
        <f>132/2</f>
        <v>66</v>
      </c>
      <c r="DV17" s="71">
        <f>0/2</f>
        <v>0</v>
      </c>
      <c r="DW17" s="56">
        <f>580/1</f>
        <v>580</v>
      </c>
      <c r="DX17" s="56">
        <f>80/1</f>
        <v>80</v>
      </c>
      <c r="DY17" s="56">
        <v>60</v>
      </c>
      <c r="DZ17" s="56">
        <v>230</v>
      </c>
      <c r="EA17" s="56">
        <v>10</v>
      </c>
      <c r="EB17" s="56">
        <v>80</v>
      </c>
      <c r="EC17" s="56">
        <v>80</v>
      </c>
      <c r="ED17" s="7">
        <f>(EC17/EB17-1)*100</f>
        <v>0</v>
      </c>
      <c r="EE17" s="11"/>
      <c r="EH17"/>
    </row>
    <row r="18" spans="1:138" ht="16.5" customHeight="1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34" t="s">
        <v>14</v>
      </c>
      <c r="EE18" s="12"/>
      <c r="EH18"/>
    </row>
    <row r="19" spans="1:138" ht="16.5" customHeight="1">
      <c r="A19" s="19" t="s">
        <v>157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25"/>
      <c r="EE19" s="17"/>
      <c r="EH19"/>
    </row>
    <row r="20" spans="1:138" ht="16.5" customHeight="1">
      <c r="A20" s="2" t="s">
        <v>5</v>
      </c>
      <c r="B20" s="9">
        <v>477</v>
      </c>
      <c r="C20" s="9">
        <v>510</v>
      </c>
      <c r="D20" s="9">
        <v>518</v>
      </c>
      <c r="E20" s="9">
        <v>473</v>
      </c>
      <c r="F20" s="9">
        <v>484</v>
      </c>
      <c r="G20" s="9">
        <v>509</v>
      </c>
      <c r="H20" s="9">
        <v>511</v>
      </c>
      <c r="I20" s="9">
        <v>578</v>
      </c>
      <c r="J20" s="9">
        <v>582.97</v>
      </c>
      <c r="K20" s="9">
        <v>553.83</v>
      </c>
      <c r="L20" s="9">
        <v>511</v>
      </c>
      <c r="M20" s="9">
        <v>558.95</v>
      </c>
      <c r="N20" s="9">
        <v>535.42</v>
      </c>
      <c r="O20" s="9">
        <v>621</v>
      </c>
      <c r="P20" s="9">
        <v>572.07</v>
      </c>
      <c r="Q20" s="9">
        <v>553.98</v>
      </c>
      <c r="R20" s="9">
        <v>580.35</v>
      </c>
      <c r="S20" s="9">
        <v>578</v>
      </c>
      <c r="T20" s="9">
        <v>554</v>
      </c>
      <c r="U20" s="9">
        <v>515</v>
      </c>
      <c r="V20" s="9">
        <v>608</v>
      </c>
      <c r="W20" s="9">
        <v>497</v>
      </c>
      <c r="X20" s="9">
        <v>501</v>
      </c>
      <c r="Y20" s="9">
        <v>475</v>
      </c>
      <c r="Z20" s="9">
        <v>479</v>
      </c>
      <c r="AA20" s="9">
        <v>499</v>
      </c>
      <c r="AB20" s="9">
        <v>525</v>
      </c>
      <c r="AC20" s="9">
        <v>477</v>
      </c>
      <c r="AD20" s="9">
        <v>504</v>
      </c>
      <c r="AE20" s="9">
        <v>499</v>
      </c>
      <c r="AF20" s="9">
        <v>496</v>
      </c>
      <c r="AG20" s="9">
        <v>488</v>
      </c>
      <c r="AH20" s="9">
        <v>510</v>
      </c>
      <c r="AI20" s="9">
        <v>481</v>
      </c>
      <c r="AJ20" s="9">
        <v>445.29</v>
      </c>
      <c r="AK20" s="9">
        <v>458.74</v>
      </c>
      <c r="AL20" s="9">
        <v>585.19</v>
      </c>
      <c r="AM20" s="9">
        <v>507.18</v>
      </c>
      <c r="AN20" s="9">
        <v>524.32</v>
      </c>
      <c r="AO20" s="9">
        <v>487.37</v>
      </c>
      <c r="AP20" s="9">
        <v>485.19</v>
      </c>
      <c r="AQ20" s="9">
        <v>488.64</v>
      </c>
      <c r="AR20" s="9">
        <v>492.36</v>
      </c>
      <c r="AS20" s="9">
        <v>476.51</v>
      </c>
      <c r="AT20" s="9">
        <v>487.69</v>
      </c>
      <c r="AU20" s="9">
        <v>445.67</v>
      </c>
      <c r="AV20" s="9">
        <v>452.9</v>
      </c>
      <c r="AW20" s="9">
        <v>461.12</v>
      </c>
      <c r="AX20" s="9">
        <v>502.71</v>
      </c>
      <c r="AY20" s="9">
        <v>452.76</v>
      </c>
      <c r="AZ20" s="9">
        <v>462.53</v>
      </c>
      <c r="BA20" s="9">
        <v>464.44</v>
      </c>
      <c r="BB20" s="9">
        <v>470.62</v>
      </c>
      <c r="BC20" s="9">
        <v>486.4</v>
      </c>
      <c r="BD20" s="9">
        <v>507.57</v>
      </c>
      <c r="BE20" s="9">
        <v>456.36</v>
      </c>
      <c r="BF20" s="9">
        <v>470.02</v>
      </c>
      <c r="BG20" s="9">
        <v>445.52</v>
      </c>
      <c r="BH20" s="9">
        <v>472.9</v>
      </c>
      <c r="BI20" s="9">
        <v>462.9</v>
      </c>
      <c r="BJ20" s="9">
        <v>449.76</v>
      </c>
      <c r="BK20" s="9">
        <v>479.6</v>
      </c>
      <c r="BL20" s="9">
        <v>449.34</v>
      </c>
      <c r="BM20" s="9">
        <v>407.59</v>
      </c>
      <c r="BN20" s="9">
        <v>436.76</v>
      </c>
      <c r="BO20" s="9">
        <v>420.94</v>
      </c>
      <c r="BP20" s="9">
        <v>473.82</v>
      </c>
      <c r="BQ20" s="9">
        <v>408.95</v>
      </c>
      <c r="BR20" s="9">
        <v>519.91</v>
      </c>
      <c r="BS20" s="9">
        <v>352</v>
      </c>
      <c r="BT20" s="9">
        <v>403.29</v>
      </c>
      <c r="BU20" s="9">
        <v>405.87</v>
      </c>
      <c r="BV20" s="9">
        <v>442.63</v>
      </c>
      <c r="BW20" s="9">
        <v>416.57</v>
      </c>
      <c r="BX20" s="9">
        <v>398.14</v>
      </c>
      <c r="BY20" s="9">
        <v>384.57</v>
      </c>
      <c r="BZ20" s="9">
        <v>394.79</v>
      </c>
      <c r="CA20" s="9">
        <v>417.61</v>
      </c>
      <c r="CB20" s="9">
        <v>397.09</v>
      </c>
      <c r="CC20" s="9">
        <v>384.93</v>
      </c>
      <c r="CD20" s="9">
        <v>401.09</v>
      </c>
      <c r="CE20" s="9">
        <v>383.17</v>
      </c>
      <c r="CF20" s="9">
        <v>396.9</v>
      </c>
      <c r="CG20" s="9">
        <v>379.8</v>
      </c>
      <c r="CH20" s="9">
        <v>401.16</v>
      </c>
      <c r="CI20" s="9">
        <v>464.28</v>
      </c>
      <c r="CJ20" s="47">
        <v>421.91</v>
      </c>
      <c r="CK20" s="47">
        <v>423.14</v>
      </c>
      <c r="CL20" s="47">
        <v>432.95</v>
      </c>
      <c r="CM20" s="47">
        <v>444.35</v>
      </c>
      <c r="CN20" s="47">
        <v>439.19</v>
      </c>
      <c r="CO20" s="47">
        <v>410.51</v>
      </c>
      <c r="CP20" s="47">
        <v>390.2</v>
      </c>
      <c r="CQ20" s="47">
        <v>443.74</v>
      </c>
      <c r="CR20" s="47">
        <v>382.8</v>
      </c>
      <c r="CS20" s="47">
        <v>382.6</v>
      </c>
      <c r="CT20" s="47">
        <v>406.15</v>
      </c>
      <c r="CU20" s="47">
        <v>418.6</v>
      </c>
      <c r="CV20" s="47">
        <v>360.4</v>
      </c>
      <c r="CW20" s="47">
        <v>386.82</v>
      </c>
      <c r="CX20" s="47">
        <v>384.43</v>
      </c>
      <c r="CY20" s="47">
        <v>388.85</v>
      </c>
      <c r="CZ20" s="47">
        <v>410.4</v>
      </c>
      <c r="DA20" s="56">
        <v>369.85</v>
      </c>
      <c r="DB20" s="56">
        <v>408.05</v>
      </c>
      <c r="DC20" s="56">
        <v>384.88</v>
      </c>
      <c r="DD20" s="56">
        <v>351.16</v>
      </c>
      <c r="DE20" s="56">
        <v>365.78</v>
      </c>
      <c r="DF20" s="56">
        <v>403.07</v>
      </c>
      <c r="DG20" s="56">
        <v>404.07</v>
      </c>
      <c r="DH20" s="56">
        <v>370.36</v>
      </c>
      <c r="DI20" s="56">
        <v>384.41</v>
      </c>
      <c r="DJ20" s="56">
        <v>367.17</v>
      </c>
      <c r="DK20" s="56">
        <v>410.36</v>
      </c>
      <c r="DL20" s="56">
        <v>390.474</v>
      </c>
      <c r="DM20" s="56">
        <v>405.156</v>
      </c>
      <c r="DN20" s="56">
        <v>378.806</v>
      </c>
      <c r="DO20" s="56">
        <v>370.715</v>
      </c>
      <c r="DP20" s="56">
        <v>383.579</v>
      </c>
      <c r="DQ20" s="56">
        <v>372.372</v>
      </c>
      <c r="DR20" s="56">
        <v>400.21</v>
      </c>
      <c r="DS20" s="56">
        <v>444.48</v>
      </c>
      <c r="DT20" s="56">
        <v>402.3</v>
      </c>
      <c r="DU20" s="56">
        <v>388.34</v>
      </c>
      <c r="DV20" s="56">
        <v>399.32</v>
      </c>
      <c r="DW20" s="56">
        <v>426.38</v>
      </c>
      <c r="DX20" s="56">
        <v>397.15</v>
      </c>
      <c r="DY20" s="56">
        <v>395.58</v>
      </c>
      <c r="DZ20" s="56">
        <v>414.03</v>
      </c>
      <c r="EA20" s="56">
        <v>373.41</v>
      </c>
      <c r="EB20" s="56">
        <v>379.41</v>
      </c>
      <c r="EC20" s="56">
        <v>382.23</v>
      </c>
      <c r="ED20" s="7">
        <f>(EC20/EB20-1)*100</f>
        <v>0.7432592709733621</v>
      </c>
      <c r="EE20" s="11"/>
      <c r="EH20"/>
    </row>
    <row r="21" spans="1:138" ht="16.5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34" t="s">
        <v>19</v>
      </c>
      <c r="EE21" s="12"/>
      <c r="EH21"/>
    </row>
    <row r="22" spans="1:138" ht="16.5" customHeight="1">
      <c r="A22" s="19" t="s">
        <v>158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21"/>
      <c r="EE22" s="20"/>
      <c r="EH22"/>
    </row>
    <row r="23" spans="1:138" ht="16.5" customHeight="1">
      <c r="A23" s="2" t="s">
        <v>6</v>
      </c>
      <c r="B23" s="8">
        <v>0.51</v>
      </c>
      <c r="C23" s="8">
        <v>0.54</v>
      </c>
      <c r="D23" s="8">
        <v>0.55</v>
      </c>
      <c r="E23" s="8">
        <v>0.5</v>
      </c>
      <c r="F23" s="8">
        <v>0.51</v>
      </c>
      <c r="G23" s="8">
        <v>0.54</v>
      </c>
      <c r="H23" s="8">
        <v>0.54</v>
      </c>
      <c r="I23" s="8">
        <v>0.61</v>
      </c>
      <c r="J23" s="8">
        <v>0.61</v>
      </c>
      <c r="K23" s="8">
        <v>0.58</v>
      </c>
      <c r="L23" s="8">
        <v>0.53</v>
      </c>
      <c r="M23" s="8">
        <v>0.58</v>
      </c>
      <c r="N23" s="8">
        <v>0.56</v>
      </c>
      <c r="O23" s="8">
        <v>0.65</v>
      </c>
      <c r="P23" s="8">
        <v>0.59</v>
      </c>
      <c r="Q23" s="8">
        <v>0.57</v>
      </c>
      <c r="R23" s="8">
        <v>0.6</v>
      </c>
      <c r="S23" s="8">
        <v>0.6</v>
      </c>
      <c r="T23" s="8">
        <v>0.57</v>
      </c>
      <c r="U23" s="8">
        <v>0.53</v>
      </c>
      <c r="V23" s="8">
        <v>0.62</v>
      </c>
      <c r="W23" s="8">
        <f>(497/980546)*1000</f>
        <v>0.5068604634560745</v>
      </c>
      <c r="X23" s="8">
        <f>(501/981612)*1000</f>
        <v>0.5103849586190877</v>
      </c>
      <c r="Y23" s="8">
        <f>(475/982412)*1000</f>
        <v>0.48350386599512224</v>
      </c>
      <c r="Z23" s="8">
        <f>(479/983694)*1000</f>
        <v>0.48694004436338945</v>
      </c>
      <c r="AA23" s="8">
        <f>(499/984236)*1000</f>
        <v>0.5069922254418655</v>
      </c>
      <c r="AB23" s="8">
        <f>(525/984510)*1000</f>
        <v>0.5332602005058353</v>
      </c>
      <c r="AC23" s="8">
        <f>(477/985845)*1000</f>
        <v>0.4838488809092707</v>
      </c>
      <c r="AD23" s="8">
        <f>(504/987394)*1000</f>
        <v>0.5104345377832963</v>
      </c>
      <c r="AE23" s="8">
        <f>(499/988632)*1000</f>
        <v>0.5047378599923935</v>
      </c>
      <c r="AF23" s="8">
        <f>(496/990041)*1000</f>
        <v>0.5009893529661903</v>
      </c>
      <c r="AG23" s="8">
        <f>(488/992243)*1000</f>
        <v>0.491815009025007</v>
      </c>
      <c r="AH23" s="8">
        <f>(510/993305)*1000</f>
        <v>0.5134374638202768</v>
      </c>
      <c r="AI23" s="8">
        <f>(481/994446)*1000</f>
        <v>0.48368639423357324</v>
      </c>
      <c r="AJ23" s="8">
        <f>(445290/995481)</f>
        <v>0.44731140021758325</v>
      </c>
      <c r="AK23" s="8">
        <f>(458740/996706)</f>
        <v>0.4602560835391781</v>
      </c>
      <c r="AL23" s="8">
        <f>(585190/997476)</f>
        <v>0.5866707569906444</v>
      </c>
      <c r="AM23" s="8">
        <f>(507180/998156)</f>
        <v>0.5081169676884174</v>
      </c>
      <c r="AN23" s="8">
        <f>(524320/999476)</f>
        <v>0.5245948877211659</v>
      </c>
      <c r="AO23" s="8">
        <f>(487370/1001053)</f>
        <v>0.48685733922179947</v>
      </c>
      <c r="AP23" s="8">
        <f>(485190/1001882)</f>
        <v>0.48427858769795246</v>
      </c>
      <c r="AQ23" s="8">
        <f>(488640/1003272)</f>
        <v>0.4870463842307968</v>
      </c>
      <c r="AR23" s="8">
        <f>(492360/1004522)</f>
        <v>0.49014357077296467</v>
      </c>
      <c r="AS23" s="8">
        <f>(476510/1005564)</f>
        <v>0.4738733685772363</v>
      </c>
      <c r="AT23" s="8">
        <f>(487690/1006667)</f>
        <v>0.4844601044834091</v>
      </c>
      <c r="AU23" s="8">
        <f>(445670/1007659)</f>
        <v>0.4422825578891272</v>
      </c>
      <c r="AV23" s="8">
        <f>(452900/1008442)</f>
        <v>0.44910862498785253</v>
      </c>
      <c r="AW23" s="8">
        <f>(461120/1009387)</f>
        <v>0.45683172063836763</v>
      </c>
      <c r="AX23" s="8">
        <f>(502710/1009921)</f>
        <v>0.49777160787824</v>
      </c>
      <c r="AY23" s="8">
        <f>(452760/1010612)</f>
        <v>0.4480057628446921</v>
      </c>
      <c r="AZ23" s="8">
        <f>(462530/1011613)</f>
        <v>0.45722030064856817</v>
      </c>
      <c r="BA23" s="8">
        <f>(464440/1012846)</f>
        <v>0.458549473463883</v>
      </c>
      <c r="BB23" s="8">
        <f>(470620/1014080)</f>
        <v>0.4640856737141054</v>
      </c>
      <c r="BC23" s="8">
        <f>(486400/1015440)</f>
        <v>0.4790041755298196</v>
      </c>
      <c r="BD23" s="8">
        <f>(507570/1016520)</f>
        <v>0.499321213552119</v>
      </c>
      <c r="BE23" s="8">
        <f>(456360/1017232)</f>
        <v>0.4486292212592604</v>
      </c>
      <c r="BF23" s="8">
        <f>(470020/1018023)</f>
        <v>0.46169880248285156</v>
      </c>
      <c r="BG23" s="8">
        <f>(445520/1018023)</f>
        <v>0.4376325485769968</v>
      </c>
      <c r="BH23" s="8">
        <f>(472900/1020034)</f>
        <v>0.4636119972471506</v>
      </c>
      <c r="BI23" s="8">
        <f>(462900/1021292)</f>
        <v>0.45324941348801323</v>
      </c>
      <c r="BJ23" s="8">
        <f>(449760/1022297)</f>
        <v>0.43995042536562273</v>
      </c>
      <c r="BK23" s="8">
        <f>(479160/1023048)</f>
        <v>0.46836512069814906</v>
      </c>
      <c r="BL23" s="8">
        <f>(449340/1024171)</f>
        <v>0.4387353283777807</v>
      </c>
      <c r="BM23" s="8">
        <f>(407590/1025109)</f>
        <v>0.39760649843089857</v>
      </c>
      <c r="BN23" s="8">
        <f>(436760/1026360)</f>
        <v>0.42554269457110566</v>
      </c>
      <c r="BO23" s="8">
        <f>(420940/1027839)</f>
        <v>0.4095388480102429</v>
      </c>
      <c r="BP23" s="8">
        <f>(473820/1028735)</f>
        <v>0.46058508751038896</v>
      </c>
      <c r="BQ23" s="8">
        <v>0.4</v>
      </c>
      <c r="BR23" s="8">
        <v>0.5</v>
      </c>
      <c r="BS23" s="8">
        <v>0.34</v>
      </c>
      <c r="BT23" s="8">
        <f>(403290/1032005)</f>
        <v>0.3907829903924884</v>
      </c>
      <c r="BU23" s="8">
        <f>(405870/1032778)</f>
        <v>0.3929886190449448</v>
      </c>
      <c r="BV23" s="8">
        <f>(442630/1033697)</f>
        <v>0.42820091380743097</v>
      </c>
      <c r="BW23" s="8">
        <f>(416570/1034213)</f>
        <v>0.40278936737403226</v>
      </c>
      <c r="BX23" s="8">
        <f>(398140/1035295)</f>
        <v>0.38456671769882017</v>
      </c>
      <c r="BY23" s="8">
        <f>(384570/1036265)</f>
        <v>0.37111163650224605</v>
      </c>
      <c r="BZ23" s="8">
        <f>394790/1037429</f>
        <v>0.3805465241476766</v>
      </c>
      <c r="CA23" s="8">
        <f>417610/1038972</f>
        <v>0.40194538447619377</v>
      </c>
      <c r="CB23" s="8">
        <f>397090/1039831</f>
        <v>0.3818793630888096</v>
      </c>
      <c r="CC23" s="8">
        <f>384930/1040725</f>
        <v>0.36986715991256097</v>
      </c>
      <c r="CD23" s="8">
        <f>401070/1041455</f>
        <v>0.3851054534281366</v>
      </c>
      <c r="CE23" s="8">
        <f>383170/1042527</f>
        <v>0.36753964165916087</v>
      </c>
      <c r="CF23" s="8">
        <f>396900/1043333</f>
        <v>0.38041545700174345</v>
      </c>
      <c r="CG23" s="8">
        <f>379800/1044392</f>
        <v>0.3636565580739799</v>
      </c>
      <c r="CH23" s="8">
        <f>401160/1044896</f>
        <v>0.3839233761063302</v>
      </c>
      <c r="CI23" s="8">
        <f>464280/1045210</f>
        <v>0.4441978167066905</v>
      </c>
      <c r="CJ23" s="8">
        <f>421910/1046372</f>
        <v>0.4032122419177883</v>
      </c>
      <c r="CK23" s="8">
        <f>423140/1047692</f>
        <v>0.40387823902444614</v>
      </c>
      <c r="CL23" s="8">
        <f>432950/1049056</f>
        <v>0.4127043742183449</v>
      </c>
      <c r="CM23" s="8">
        <f>444350/1050160</f>
        <v>0.42312599984764226</v>
      </c>
      <c r="CN23" s="8">
        <f>439190/1051090</f>
        <v>0.4178424302390851</v>
      </c>
      <c r="CO23" s="8">
        <f>410510/1052108</f>
        <v>0.390178574823117</v>
      </c>
      <c r="CP23" s="8">
        <f>390200/1052946</f>
        <v>0.37057930796071215</v>
      </c>
      <c r="CQ23" s="8">
        <f>443740/1053828</f>
        <v>0.42107440682919794</v>
      </c>
      <c r="CR23" s="8">
        <f>382800/1054842</f>
        <v>0.3628979505935486</v>
      </c>
      <c r="CS23" s="8">
        <f>382600/1055898</f>
        <v>0.3623456053520321</v>
      </c>
      <c r="CT23" s="8">
        <f>406150/1056993</f>
        <v>0.384250416038706</v>
      </c>
      <c r="CU23" s="8">
        <f>418600/1057781</f>
        <v>0.3957340886251502</v>
      </c>
      <c r="CV23" s="8">
        <f>360400/1058529</f>
        <v>0.34047248587426515</v>
      </c>
      <c r="CW23" s="8">
        <f>386820/1059821</f>
        <v>0.3649861627576732</v>
      </c>
      <c r="CX23" s="8">
        <f>384430/1061065</f>
        <v>0.3623057965346138</v>
      </c>
      <c r="CY23" s="8">
        <f>388850/1062244</f>
        <v>0.3660646706406438</v>
      </c>
      <c r="CZ23" s="8">
        <f>410400/1062937</f>
        <v>0.38610002286118555</v>
      </c>
      <c r="DA23" s="53">
        <f>369850/1063429</f>
        <v>0.3477900264145514</v>
      </c>
      <c r="DB23" s="53">
        <f>408050/1063800</f>
        <v>0.38357774017672497</v>
      </c>
      <c r="DC23" s="53">
        <f>384880/1064440</f>
        <v>0.3615797978279659</v>
      </c>
      <c r="DD23" s="53">
        <f>351160/1065093</f>
        <v>0.32969890892156833</v>
      </c>
      <c r="DE23" s="53">
        <f>365780/1066128</f>
        <v>0.3430920114657902</v>
      </c>
      <c r="DF23" s="53">
        <f>DF20*1000/1066843</f>
        <v>0.3778156673474916</v>
      </c>
      <c r="DG23" s="53">
        <f>DG20*1000/1067366</f>
        <v>0.3785674267308496</v>
      </c>
      <c r="DH23" s="53">
        <f>DH20*1000/1068537</f>
        <v>0.34660475023326287</v>
      </c>
      <c r="DI23" s="53">
        <f>DI20*1000/1068951</f>
        <v>0.3596142386320795</v>
      </c>
      <c r="DJ23" s="53">
        <f>DJ20*1000/1069354</f>
        <v>0.3433568303854477</v>
      </c>
      <c r="DK23" s="53">
        <f>DK20*1000/1070145</f>
        <v>0.3834620542076074</v>
      </c>
      <c r="DL23" s="53">
        <f>DL20*1000/1070657</f>
        <v>0.36470503625344064</v>
      </c>
      <c r="DM23" s="53">
        <f>DM20*1000/1070792</f>
        <v>0.37837040246845327</v>
      </c>
      <c r="DN23" s="53">
        <f>DN20*1000/1070792</f>
        <v>0.3537624487295385</v>
      </c>
      <c r="DO23" s="53">
        <f>DO20*1000/1071946</f>
        <v>0.3458336520682945</v>
      </c>
      <c r="DP23" s="53">
        <f aca="true" t="shared" si="2" ref="DP23:EC23">DP20*1000/DP47</f>
        <v>0.3575700683671129</v>
      </c>
      <c r="DQ23" s="53">
        <f t="shared" si="2"/>
        <v>0.34683295533398223</v>
      </c>
      <c r="DR23" s="53">
        <f t="shared" si="2"/>
        <v>0.3725389261801193</v>
      </c>
      <c r="DS23" s="53">
        <f t="shared" si="2"/>
        <v>0.41350938741107285</v>
      </c>
      <c r="DT23" s="53">
        <f t="shared" si="2"/>
        <v>0.3738288230106833</v>
      </c>
      <c r="DU23" s="53">
        <f t="shared" si="2"/>
        <v>0.36051475052498094</v>
      </c>
      <c r="DV23" s="53">
        <f t="shared" si="2"/>
        <v>0.37042809064226584</v>
      </c>
      <c r="DW23" s="53">
        <f t="shared" si="2"/>
        <v>0.3955203182121346</v>
      </c>
      <c r="DX23" s="53">
        <f t="shared" si="2"/>
        <v>0.36795532096840394</v>
      </c>
      <c r="DY23" s="53">
        <f t="shared" si="2"/>
        <v>0.3662303034791786</v>
      </c>
      <c r="DZ23" s="53">
        <f>DZ20*1000/DZ47</f>
        <v>0.38314222337794057</v>
      </c>
      <c r="EA23" s="53">
        <f>EA20*1000/EA47</f>
        <v>0.34527460801655496</v>
      </c>
      <c r="EB23" s="53">
        <f>EB20*1000/EB47</f>
        <v>0.35060337490747695</v>
      </c>
      <c r="EC23" s="53">
        <f t="shared" si="2"/>
        <v>0.35316488327162826</v>
      </c>
      <c r="ED23" s="7">
        <f>(EC23/EB23-1)*100</f>
        <v>0.7306000305408622</v>
      </c>
      <c r="EE23" s="13"/>
      <c r="EH23"/>
    </row>
    <row r="24" spans="1:138" ht="16.5" customHeight="1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34" t="s">
        <v>19</v>
      </c>
      <c r="EE24" s="12"/>
      <c r="EH24"/>
    </row>
    <row r="25" spans="1:138" ht="16.5" customHeight="1">
      <c r="A25" s="19" t="s">
        <v>159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26"/>
      <c r="EE25" s="27"/>
      <c r="EH25"/>
    </row>
    <row r="26" spans="1:138" ht="16.5" customHeight="1">
      <c r="A26" s="2"/>
      <c r="B26" s="14">
        <v>5755.46</v>
      </c>
      <c r="C26" s="14">
        <v>5766.19</v>
      </c>
      <c r="D26" s="14">
        <v>5776.26</v>
      </c>
      <c r="E26" s="14">
        <v>5790.46</v>
      </c>
      <c r="F26" s="14">
        <v>5804.41</v>
      </c>
      <c r="G26" s="14">
        <v>5821.19</v>
      </c>
      <c r="H26" s="14">
        <v>5838.6</v>
      </c>
      <c r="I26" s="14">
        <v>5851.5</v>
      </c>
      <c r="J26" s="14">
        <v>5863.83</v>
      </c>
      <c r="K26" s="14">
        <v>5874.79</v>
      </c>
      <c r="L26" s="14">
        <v>5887.33</v>
      </c>
      <c r="M26" s="14">
        <v>5898.08</v>
      </c>
      <c r="N26" s="14">
        <v>5909.66</v>
      </c>
      <c r="O26" s="14">
        <v>5917.78</v>
      </c>
      <c r="P26" s="14">
        <v>5929.77</v>
      </c>
      <c r="Q26" s="14">
        <v>5942.92</v>
      </c>
      <c r="R26" s="14">
        <v>5956.28</v>
      </c>
      <c r="S26" s="14">
        <v>5967.05</v>
      </c>
      <c r="T26" s="14">
        <f>977131/163.4256</f>
        <v>5979.057136703184</v>
      </c>
      <c r="U26" s="14">
        <f>978467/163.4256</f>
        <v>5987.232110513897</v>
      </c>
      <c r="V26" s="14">
        <f>979744/163.4256</f>
        <v>5995.046063774586</v>
      </c>
      <c r="W26" s="14">
        <f>980546/163.4256</f>
        <v>5999.953495657963</v>
      </c>
      <c r="X26" s="14">
        <f>981612/163.4256</f>
        <v>6006.476341527888</v>
      </c>
      <c r="Y26" s="14">
        <f>982412/163.4256</f>
        <v>6011.371535426518</v>
      </c>
      <c r="Z26" s="14">
        <f>983694/163.4256</f>
        <v>6019.216083649073</v>
      </c>
      <c r="AA26" s="14">
        <f>984236/163.4256</f>
        <v>6022.532577515395</v>
      </c>
      <c r="AB26" s="14">
        <f>984510/163.4256</f>
        <v>6024.209181425676</v>
      </c>
      <c r="AC26" s="14">
        <f>985845/163.4256</f>
        <v>6032.378036244016</v>
      </c>
      <c r="AD26" s="14">
        <f>987394/163.4256</f>
        <v>6041.856355430238</v>
      </c>
      <c r="AE26" s="14">
        <f>988632/163.4256</f>
        <v>6049.431667988369</v>
      </c>
      <c r="AF26" s="14">
        <f>990041/163.4256</f>
        <v>6058.053328242331</v>
      </c>
      <c r="AG26" s="14">
        <f>992243/163.4256</f>
        <v>6071.527349448312</v>
      </c>
      <c r="AH26" s="14">
        <f>993305/163.4256</f>
        <v>6078.025719348743</v>
      </c>
      <c r="AI26" s="14">
        <f>994446/163.4256</f>
        <v>6085.007489646665</v>
      </c>
      <c r="AJ26" s="14">
        <f>995481/163.4256</f>
        <v>6091.340646753018</v>
      </c>
      <c r="AK26" s="14">
        <f>996706/163.4256</f>
        <v>6098.836412410295</v>
      </c>
      <c r="AL26" s="14">
        <f>997476/163.4256</f>
        <v>6103.548036537727</v>
      </c>
      <c r="AM26" s="14">
        <f>998156/163.4256</f>
        <v>6107.708951351563</v>
      </c>
      <c r="AN26" s="14">
        <f>999476/163.4256</f>
        <v>6115.786021284303</v>
      </c>
      <c r="AO26" s="14">
        <f>1001053/163.4256</f>
        <v>6125.435672256978</v>
      </c>
      <c r="AP26" s="14">
        <f>1001882/163.4256</f>
        <v>6130.508316934433</v>
      </c>
      <c r="AQ26" s="14">
        <f>1003272/163.4256</f>
        <v>6139.013716333304</v>
      </c>
      <c r="AR26" s="14">
        <f>1004522/163.4256</f>
        <v>6146.662456799913</v>
      </c>
      <c r="AS26" s="14">
        <f>1005564/163.4256</f>
        <v>6153.03844685288</v>
      </c>
      <c r="AT26" s="14">
        <f>1006667/163.4256</f>
        <v>6159.7876954406165</v>
      </c>
      <c r="AU26" s="14">
        <f>1007659/163.4256</f>
        <v>6165.857735874918</v>
      </c>
      <c r="AV26" s="14">
        <f>1008442/163.4256</f>
        <v>6170.648906903202</v>
      </c>
      <c r="AW26" s="14">
        <f>1009387/163.4256</f>
        <v>6176.431354695959</v>
      </c>
      <c r="AX26" s="14">
        <f>1009921/163.4256</f>
        <v>6179.698896623295</v>
      </c>
      <c r="AY26" s="14">
        <f>1010612/163.4256</f>
        <v>6183.927120353237</v>
      </c>
      <c r="AZ26" s="14">
        <f>1011613/163.4256</f>
        <v>6190.052231718898</v>
      </c>
      <c r="BA26" s="14">
        <f>1012846/163.4256</f>
        <v>6197.596949315162</v>
      </c>
      <c r="BB26" s="14">
        <f>1014080/163.4256</f>
        <v>6205.1477859038</v>
      </c>
      <c r="BC26" s="14">
        <f>1015440/163.4256</f>
        <v>6213.469615531471</v>
      </c>
      <c r="BD26" s="14">
        <f>1016520/163.4256</f>
        <v>6220.078127294622</v>
      </c>
      <c r="BE26" s="14">
        <f>1017232/163.4256</f>
        <v>6224.434849864403</v>
      </c>
      <c r="BF26" s="14">
        <f>1018023/163.4256</f>
        <v>6229.274972831674</v>
      </c>
      <c r="BG26" s="14">
        <f>1018909/163.4256</f>
        <v>6234.6964000744065</v>
      </c>
      <c r="BH26" s="14">
        <f>1020034/163.4256</f>
        <v>6241.580266494356</v>
      </c>
      <c r="BI26" s="14">
        <f>1021292/163.4256</f>
        <v>6249.277958899952</v>
      </c>
      <c r="BJ26" s="14">
        <f>1022297/163.4256</f>
        <v>6255.427546235106</v>
      </c>
      <c r="BK26" s="14">
        <f>1023048/163.4256</f>
        <v>6260.022909507446</v>
      </c>
      <c r="BL26" s="14">
        <f>1024171/163.4256</f>
        <v>6266.894537942648</v>
      </c>
      <c r="BM26" s="14">
        <f>1025109/163.4256</f>
        <v>6272.634152788792</v>
      </c>
      <c r="BN26" s="14">
        <f>1026360/163.4256</f>
        <v>6280.289012247775</v>
      </c>
      <c r="BO26" s="14">
        <f>1027839/163.4256</f>
        <v>6289.339001967868</v>
      </c>
      <c r="BP26" s="14">
        <f>1028735/163.4256</f>
        <v>6294.821619134334</v>
      </c>
      <c r="BQ26" s="14">
        <v>6300.38</v>
      </c>
      <c r="BR26" s="14">
        <v>6306.17</v>
      </c>
      <c r="BS26" s="14">
        <v>6309.47</v>
      </c>
      <c r="BT26" s="14">
        <f>1032005/163.4256</f>
        <v>6314.830724194985</v>
      </c>
      <c r="BU26" s="14">
        <f>1032778/163.4256</f>
        <v>6319.5607052995365</v>
      </c>
      <c r="BV26" s="14">
        <f>1033697/163.4256</f>
        <v>6325.184059290588</v>
      </c>
      <c r="BW26" s="14">
        <f>1034213/163.4256</f>
        <v>6328.341459355205</v>
      </c>
      <c r="BX26" s="14">
        <f>1035295/163.4256</f>
        <v>6334.962209103102</v>
      </c>
      <c r="BY26" s="14">
        <f>1036265/163.4256</f>
        <v>6340.897631705192</v>
      </c>
      <c r="BZ26" s="14">
        <f>1037429/163.4256</f>
        <v>6348.020138827699</v>
      </c>
      <c r="CA26" s="14">
        <f>1038972/163.4256</f>
        <v>6357.461744059682</v>
      </c>
      <c r="CB26" s="14">
        <f>1039831/163.4256</f>
        <v>6362.717958508337</v>
      </c>
      <c r="CC26" s="14">
        <f>1040725/163.4256</f>
        <v>6368.188337690056</v>
      </c>
      <c r="CD26" s="14">
        <f>1041455/163.4256</f>
        <v>6372.655202122556</v>
      </c>
      <c r="CE26" s="14">
        <f>1042527/163.4256</f>
        <v>6379.2147619467205</v>
      </c>
      <c r="CF26" s="14">
        <f>1043333/163.4256</f>
        <v>6384.14666979959</v>
      </c>
      <c r="CG26" s="14">
        <f>1044392/163.4256</f>
        <v>6390.626682722903</v>
      </c>
      <c r="CH26" s="14">
        <f>1044896/163.4256</f>
        <v>6393.71065487904</v>
      </c>
      <c r="CI26" s="14">
        <f>1045210/163.4256</f>
        <v>6395.632018484252</v>
      </c>
      <c r="CJ26" s="14">
        <f>1046372/163.4256</f>
        <v>6402.742287622013</v>
      </c>
      <c r="CK26" s="14">
        <f>1047692/163.4256</f>
        <v>6410.819357554753</v>
      </c>
      <c r="CL26" s="14">
        <f>1049056/163.4256</f>
        <v>6419.165663151917</v>
      </c>
      <c r="CM26" s="14">
        <f>1050160/163.4256</f>
        <v>6425.921030732027</v>
      </c>
      <c r="CN26" s="14">
        <f>1051090/163.4256</f>
        <v>6431.6116936391845</v>
      </c>
      <c r="CO26" s="14">
        <f>1052108/163.4256</f>
        <v>6437.840827875192</v>
      </c>
      <c r="CP26" s="14">
        <f>1052946/163.4256</f>
        <v>6442.968543484008</v>
      </c>
      <c r="CQ26" s="14">
        <f>1053828/163.4256</f>
        <v>6448.365494757247</v>
      </c>
      <c r="CR26" s="14">
        <f>1054842/163.4256</f>
        <v>6454.570153023761</v>
      </c>
      <c r="CS26" s="14">
        <f>1055898/163.4256</f>
        <v>6461.031808969953</v>
      </c>
      <c r="CT26" s="14">
        <f>1056993/163.4256</f>
        <v>6467.732105618704</v>
      </c>
      <c r="CU26" s="14">
        <f>1057781/163.4256</f>
        <v>6472.553871608854</v>
      </c>
      <c r="CV26" s="14">
        <f>1058529/163.4256</f>
        <v>6477.130877904074</v>
      </c>
      <c r="CW26" s="14">
        <f>1059821/163.4256</f>
        <v>6485.036616050362</v>
      </c>
      <c r="CX26" s="14">
        <f>1061065/163.4256</f>
        <v>6492.648642562732</v>
      </c>
      <c r="CY26" s="14">
        <f>1062244/163.4256</f>
        <v>6499.862934570839</v>
      </c>
      <c r="CZ26" s="14">
        <f>1062937/163.4256</f>
        <v>6504.103396285527</v>
      </c>
      <c r="DA26" s="60">
        <f>1063429/163.4256</f>
        <v>6507.113940533184</v>
      </c>
      <c r="DB26" s="60">
        <f>1063800/163.4256</f>
        <v>6509.384086703674</v>
      </c>
      <c r="DC26" s="60">
        <f>1064440/163.4256</f>
        <v>6513.300241822579</v>
      </c>
      <c r="DD26" s="60">
        <f>10665093/163.4256</f>
        <v>65259.62272740623</v>
      </c>
      <c r="DE26" s="60">
        <f>10661280/163.4256</f>
        <v>65236.291009486886</v>
      </c>
      <c r="DF26" s="60">
        <f>1066843/163.4256</f>
        <v>6528.004180495589</v>
      </c>
      <c r="DG26" s="60">
        <f>1067366/163.4256</f>
        <v>6531.204413506819</v>
      </c>
      <c r="DH26" s="60">
        <f>1068537/163.4256</f>
        <v>6538.369753575939</v>
      </c>
      <c r="DI26" s="60">
        <f>1068951/163.4256</f>
        <v>6540.903016418481</v>
      </c>
      <c r="DJ26" s="60">
        <f>1069354/163.4256</f>
        <v>6543.368970344915</v>
      </c>
      <c r="DK26" s="60">
        <f>1070145/163.4256</f>
        <v>6548.209093312186</v>
      </c>
      <c r="DL26" s="60">
        <f>1070657/163.4256</f>
        <v>6551.342017407309</v>
      </c>
      <c r="DM26" s="60">
        <f>1070792/163.4256</f>
        <v>6552.168081377703</v>
      </c>
      <c r="DN26" s="60">
        <f>1071117/163.4256</f>
        <v>6554.156753899022</v>
      </c>
      <c r="DO26" s="60">
        <f>1071946/163.4256</f>
        <v>6559.229398576477</v>
      </c>
      <c r="DP26" s="60">
        <f aca="true" t="shared" si="3" ref="DP26:EC26">DP47/163.4256</f>
        <v>6564.075640536122</v>
      </c>
      <c r="DQ26" s="60">
        <f t="shared" si="3"/>
        <v>6569.564376694961</v>
      </c>
      <c r="DR26" s="60">
        <f t="shared" si="3"/>
        <v>6573.492769798611</v>
      </c>
      <c r="DS26" s="60">
        <f t="shared" si="3"/>
        <v>6577.28654507005</v>
      </c>
      <c r="DT26" s="60">
        <f t="shared" si="3"/>
        <v>6585.020951429886</v>
      </c>
      <c r="DU26" s="60">
        <f t="shared" si="3"/>
        <v>6591.268442643013</v>
      </c>
      <c r="DV26" s="60">
        <f t="shared" si="3"/>
        <v>6596.24930243487</v>
      </c>
      <c r="DW26" s="60">
        <f t="shared" si="3"/>
        <v>6596.414515228948</v>
      </c>
      <c r="DX26" s="60">
        <f t="shared" si="3"/>
        <v>6604.491585161688</v>
      </c>
      <c r="DY26" s="60">
        <f t="shared" si="3"/>
        <v>6609.368422083198</v>
      </c>
      <c r="DZ26" s="60">
        <f>DZ47/163.4256</f>
        <v>6612.287181445257</v>
      </c>
      <c r="EA26" s="60">
        <f>EA47/163.4256</f>
        <v>6617.6107048100175</v>
      </c>
      <c r="EB26" s="60">
        <f>EB47/163.4256</f>
        <v>6621.74714365436</v>
      </c>
      <c r="EC26" s="60">
        <f t="shared" si="3"/>
        <v>6622.579326617127</v>
      </c>
      <c r="ED26" s="7">
        <f>EC26-EB26</f>
        <v>0.8321829627666375</v>
      </c>
      <c r="EE26" s="15"/>
      <c r="EH26"/>
    </row>
    <row r="27" spans="1:138" ht="16.5" customHeight="1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34" t="s">
        <v>15</v>
      </c>
      <c r="EE27" s="12"/>
      <c r="EH27"/>
    </row>
    <row r="28" spans="1:138" ht="16.5" customHeight="1">
      <c r="A28" s="19" t="s">
        <v>160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26"/>
      <c r="EE28" s="27"/>
      <c r="EH28"/>
    </row>
    <row r="29" spans="1:138" ht="16.5" customHeight="1">
      <c r="A29" s="2"/>
      <c r="B29" s="14">
        <v>1683.9</v>
      </c>
      <c r="C29" s="14">
        <v>1688.82</v>
      </c>
      <c r="D29" s="14">
        <v>1704.51</v>
      </c>
      <c r="E29" s="14">
        <v>1704</v>
      </c>
      <c r="F29" s="14">
        <v>1729</v>
      </c>
      <c r="G29" s="14">
        <v>1719.19</v>
      </c>
      <c r="H29" s="14">
        <v>1729.33</v>
      </c>
      <c r="I29" s="14">
        <v>1729.33</v>
      </c>
      <c r="J29" s="14">
        <v>1749.24</v>
      </c>
      <c r="K29" s="14">
        <v>1752.6</v>
      </c>
      <c r="L29" s="14">
        <f>287788/163.4256</f>
        <v>1760.9725771237797</v>
      </c>
      <c r="M29" s="14">
        <v>1766.98</v>
      </c>
      <c r="N29" s="14">
        <v>1785.11</v>
      </c>
      <c r="O29" s="14">
        <v>1793.92</v>
      </c>
      <c r="P29" s="14">
        <v>1794.85</v>
      </c>
      <c r="Q29" s="14">
        <v>1797.76</v>
      </c>
      <c r="R29" s="14">
        <v>1802.89</v>
      </c>
      <c r="S29" s="14">
        <v>1811.6</v>
      </c>
      <c r="T29" s="41">
        <f>296637/163.4256</f>
        <v>1815.1195406350046</v>
      </c>
      <c r="U29" s="41">
        <f>297014/163.4256</f>
        <v>1817.426400759734</v>
      </c>
      <c r="V29" s="41">
        <f>297802/163.4256</f>
        <v>1822.2481667498848</v>
      </c>
      <c r="W29" s="41">
        <f>298055/163.4256</f>
        <v>1823.7962718203269</v>
      </c>
      <c r="X29" s="41">
        <f>298083/163.4256</f>
        <v>1823.9676036067788</v>
      </c>
      <c r="Y29" s="41">
        <f>298927/163.4256</f>
        <v>1829.132033169834</v>
      </c>
      <c r="Z29" s="41">
        <f>298942/163.4256</f>
        <v>1829.2238180554332</v>
      </c>
      <c r="AA29" s="41">
        <f>300147/163.4256</f>
        <v>1836.597203865245</v>
      </c>
      <c r="AB29" s="41">
        <f>300546/163.4256</f>
        <v>1839.0386818221868</v>
      </c>
      <c r="AC29" s="41">
        <f>301447/163.4256</f>
        <v>1844.5518939505193</v>
      </c>
      <c r="AD29" s="41">
        <f>302494/163.4256</f>
        <v>1850.9584789653518</v>
      </c>
      <c r="AE29" s="41">
        <f>303643/163.4256</f>
        <v>1857.9892012022597</v>
      </c>
      <c r="AF29" s="41">
        <f>304752/163.4256</f>
        <v>1864.775163744236</v>
      </c>
      <c r="AG29" s="41">
        <f>307118/163.4256</f>
        <v>1879.252699699435</v>
      </c>
      <c r="AH29" s="41">
        <f>308460/163.4256</f>
        <v>1887.4643874643875</v>
      </c>
      <c r="AI29" s="41">
        <f>309671/163.4256</f>
        <v>1894.8744872284392</v>
      </c>
      <c r="AJ29" s="41">
        <f>310381/163.4256</f>
        <v>1899.2189718134734</v>
      </c>
      <c r="AK29" s="41">
        <f>310054/163.4256</f>
        <v>1897.2180613074083</v>
      </c>
      <c r="AL29" s="41">
        <f>311995/163.4256</f>
        <v>1909.0950255039602</v>
      </c>
      <c r="AM29" s="41">
        <f>312026/163.4256</f>
        <v>1909.284714267532</v>
      </c>
      <c r="AN29" s="41">
        <f>312898/163.4256</f>
        <v>1914.6204756170391</v>
      </c>
      <c r="AO29" s="41">
        <f>313875/163.4256</f>
        <v>1920.5987311657414</v>
      </c>
      <c r="AP29" s="41">
        <f>314443/163.4256</f>
        <v>1924.074318833769</v>
      </c>
      <c r="AQ29" s="41">
        <f>315625/163.4256</f>
        <v>1931.3069678189952</v>
      </c>
      <c r="AR29" s="41">
        <f>317771/163.4256</f>
        <v>1944.438325452071</v>
      </c>
      <c r="AS29" s="41">
        <f>318389/163.4256</f>
        <v>1948.2198627387631</v>
      </c>
      <c r="AT29" s="41">
        <f>319403/163.4256</f>
        <v>1954.424521005277</v>
      </c>
      <c r="AU29" s="41">
        <f>320748/163.4256</f>
        <v>1962.6545657473491</v>
      </c>
      <c r="AV29" s="41">
        <f>321699/163.4256</f>
        <v>1968.4737274943461</v>
      </c>
      <c r="AW29" s="41">
        <f>322425/163.4256</f>
        <v>1972.916115957353</v>
      </c>
      <c r="AX29" s="41">
        <f>324919/163.4256</f>
        <v>1988.1768829363332</v>
      </c>
      <c r="AY29" s="41">
        <f>325232/163.4256</f>
        <v>1990.0921275491721</v>
      </c>
      <c r="AZ29" s="41">
        <f>326672/163.4256</f>
        <v>1998.9034765667068</v>
      </c>
      <c r="BA29" s="41">
        <f>327769/163.4256</f>
        <v>2005.6160112002035</v>
      </c>
      <c r="BB29" s="41">
        <f>329117/163.4256</f>
        <v>2013.8644129193956</v>
      </c>
      <c r="BC29" s="41">
        <f>330533/163.4256</f>
        <v>2022.5289061199715</v>
      </c>
      <c r="BD29" s="41">
        <f>332640/163.4256</f>
        <v>2035.421623050489</v>
      </c>
      <c r="BE29" s="41">
        <f>333675/163.4256</f>
        <v>2041.754780156842</v>
      </c>
      <c r="BF29" s="41">
        <f>334505/163.4256</f>
        <v>2046.8335438266708</v>
      </c>
      <c r="BG29" s="41">
        <f>335875/163.4256</f>
        <v>2055.2165633780755</v>
      </c>
      <c r="BH29" s="41">
        <f>337111/163.4256</f>
        <v>2062.7796379514593</v>
      </c>
      <c r="BI29" s="41">
        <f>337945/163.4256</f>
        <v>2067.8828775907814</v>
      </c>
      <c r="BJ29" s="41">
        <f>340907/163.4256</f>
        <v>2086.00733300046</v>
      </c>
      <c r="BK29" s="41">
        <f>341749/163.4256</f>
        <v>2091.1595245787685</v>
      </c>
      <c r="BL29" s="41">
        <f>343083/163.4256</f>
        <v>2099.3222604047346</v>
      </c>
      <c r="BM29" s="41">
        <f>344235/163.4256</f>
        <v>2106.3713396187622</v>
      </c>
      <c r="BN29" s="41">
        <f>345357/163.4256</f>
        <v>2113.2368490615913</v>
      </c>
      <c r="BO29" s="41">
        <f>347215/163.4256</f>
        <v>2124.60593689116</v>
      </c>
      <c r="BP29" s="41">
        <f>349270/163.4256</f>
        <v>2137.1804662182667</v>
      </c>
      <c r="BQ29" s="41">
        <v>2140.34</v>
      </c>
      <c r="BR29" s="41">
        <v>2149.03</v>
      </c>
      <c r="BS29" s="41">
        <v>2154.61</v>
      </c>
      <c r="BT29" s="41">
        <f>353017/163.4256</f>
        <v>2160.108330640977</v>
      </c>
      <c r="BU29" s="41">
        <f>352472/163.4256</f>
        <v>2156.773479797535</v>
      </c>
      <c r="BV29" s="41">
        <f>353802/163.4256</f>
        <v>2164.9117396540078</v>
      </c>
      <c r="BW29" s="41">
        <f>352786/163.4256</f>
        <v>2158.694843402747</v>
      </c>
      <c r="BX29" s="41">
        <f>352423/163.4256</f>
        <v>2156.473649171244</v>
      </c>
      <c r="BY29" s="41">
        <f>352947/163.4256</f>
        <v>2159.6800011748464</v>
      </c>
      <c r="BZ29" s="41">
        <f>353033/143.4256</f>
        <v>2461.4364520699232</v>
      </c>
      <c r="CA29" s="41">
        <f>353263/143.4256</f>
        <v>2463.040070949677</v>
      </c>
      <c r="CB29" s="41">
        <f>353888/143.4256</f>
        <v>2467.397730949008</v>
      </c>
      <c r="CC29" s="41">
        <f>354243/163.4256</f>
        <v>2167.610215290628</v>
      </c>
      <c r="CD29" s="41">
        <f>354688/163.4256</f>
        <v>2170.3331668967407</v>
      </c>
      <c r="CE29" s="41">
        <f>354753/163.4256</f>
        <v>2170.7309014010043</v>
      </c>
      <c r="CF29" s="41">
        <f>354999/163.4256</f>
        <v>2172.2361735248332</v>
      </c>
      <c r="CG29" s="41">
        <f>355162/163.4256</f>
        <v>2173.233569281679</v>
      </c>
      <c r="CH29" s="41">
        <f>356190/163.4256</f>
        <v>2179.523893441419</v>
      </c>
      <c r="CI29" s="41">
        <f>356907/163.4256</f>
        <v>2183.9112109730668</v>
      </c>
      <c r="CJ29" s="41">
        <f>356798/163.4256</f>
        <v>2183.244240804378</v>
      </c>
      <c r="CK29" s="41">
        <f>357066/163.4256</f>
        <v>2184.8841307604193</v>
      </c>
      <c r="CL29" s="41">
        <f>357112/163.4256</f>
        <v>2185.1656044095907</v>
      </c>
      <c r="CM29" s="41">
        <f>357907/163.4256</f>
        <v>2190.0302033463545</v>
      </c>
      <c r="CN29" s="41">
        <f>358078/163.4256</f>
        <v>2191.0765510421866</v>
      </c>
      <c r="CO29" s="41">
        <f>358148/163.4256</f>
        <v>2191.504880508317</v>
      </c>
      <c r="CP29" s="41">
        <f>358945/163.4256</f>
        <v>2196.3817174298274</v>
      </c>
      <c r="CQ29" s="41">
        <f>358633/163.4256</f>
        <v>2194.4725918093613</v>
      </c>
      <c r="CR29" s="41">
        <f>359133/163.4256</f>
        <v>2197.5320879960054</v>
      </c>
      <c r="CS29" s="41">
        <f>359497/163.4256</f>
        <v>2199.7594012198824</v>
      </c>
      <c r="CT29" s="41">
        <f>359539/163.4256</f>
        <v>2200.0163988995605</v>
      </c>
      <c r="CU29" s="41">
        <f>359620/163.4256</f>
        <v>2200.512037281797</v>
      </c>
      <c r="CV29" s="41">
        <f>359807/163.4256</f>
        <v>2201.6562888556014</v>
      </c>
      <c r="CW29" s="41">
        <f>359160/163.4256</f>
        <v>2197.6973007900842</v>
      </c>
      <c r="CX29" s="41">
        <f>359491/163.4256</f>
        <v>2199.7226872656424</v>
      </c>
      <c r="CY29" s="41">
        <f>359369/163.4256</f>
        <v>2198.9761701961015</v>
      </c>
      <c r="CZ29" s="41">
        <f>358758/163.4256</f>
        <v>2195.2374658560225</v>
      </c>
      <c r="DA29" s="65">
        <f>378885/163.4256</f>
        <v>2318.394425353188</v>
      </c>
      <c r="DB29" s="65">
        <f>358332/163.4256</f>
        <v>2192.6307751050017</v>
      </c>
      <c r="DC29" s="65">
        <f>358337/163.4256</f>
        <v>2192.661370066868</v>
      </c>
      <c r="DD29" s="65">
        <f>358638/163.4256</f>
        <v>2194.503186771228</v>
      </c>
      <c r="DE29" s="65">
        <f>357989/163.4256</f>
        <v>2190.531960720964</v>
      </c>
      <c r="DF29" s="65">
        <f>358502/163.4256</f>
        <v>2193.6710038084607</v>
      </c>
      <c r="DG29" s="65">
        <f>358193/163.4256</f>
        <v>2191.780235165115</v>
      </c>
      <c r="DH29" s="65">
        <f>358502/163.4256</f>
        <v>2193.6710038084607</v>
      </c>
      <c r="DI29" s="65">
        <f>358512/163.4256</f>
        <v>2193.7321937321935</v>
      </c>
      <c r="DJ29" s="65">
        <f>358033/163.4256</f>
        <v>2190.8011963853887</v>
      </c>
      <c r="DK29" s="65">
        <f>358872/163.4256</f>
        <v>2195.935030986577</v>
      </c>
      <c r="DL29" s="65">
        <f>359244/163.4256</f>
        <v>2198.2112961494404</v>
      </c>
      <c r="DM29" s="65">
        <f>359949/163.4256</f>
        <v>2202.5251857726084</v>
      </c>
      <c r="DN29" s="65">
        <f>360382/163.4256</f>
        <v>2205.174709470242</v>
      </c>
      <c r="DO29" s="65">
        <f>361106/163.4256</f>
        <v>2209.6048599485025</v>
      </c>
      <c r="DP29" s="65">
        <f>361982/163.4256</f>
        <v>2214.9650972675026</v>
      </c>
      <c r="DQ29" s="65">
        <f>363150/163.4256</f>
        <v>2222.112080359503</v>
      </c>
      <c r="DR29" s="65">
        <f>364038/163.4256</f>
        <v>2227.545745586983</v>
      </c>
      <c r="DS29" s="65">
        <f>364579/163.4256</f>
        <v>2230.8561204609314</v>
      </c>
      <c r="DT29" s="65">
        <f>364864/163.4256</f>
        <v>2232.6000332873186</v>
      </c>
      <c r="DU29" s="65">
        <f>364780/163.4256</f>
        <v>2232.0860379279625</v>
      </c>
      <c r="DV29" s="65">
        <f>365784/163.4256</f>
        <v>2238.2295062707435</v>
      </c>
      <c r="DW29" s="65">
        <f>366723/163.4256</f>
        <v>2243.9752401092605</v>
      </c>
      <c r="DX29" s="65">
        <f>367864/163.4256</f>
        <v>2250.957010407182</v>
      </c>
      <c r="DY29" s="65">
        <f>368316/163.4256</f>
        <v>2253.7227949599082</v>
      </c>
      <c r="DZ29" s="65">
        <f>369431/163.4256</f>
        <v>2260.5454714561242</v>
      </c>
      <c r="EA29" s="65">
        <f>370439/163.4256</f>
        <v>2266.7134157683986</v>
      </c>
      <c r="EB29" s="65">
        <f>371367/163.4256</f>
        <v>2272.3918406908097</v>
      </c>
      <c r="EC29" s="65">
        <f>372057/163.4256</f>
        <v>2276.6139454283784</v>
      </c>
      <c r="ED29" s="7">
        <f>EC29-EB29</f>
        <v>4.22210473756877</v>
      </c>
      <c r="EE29" s="15"/>
      <c r="EH29"/>
    </row>
    <row r="30" spans="1:138" ht="16.5" customHeight="1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35" t="s">
        <v>16</v>
      </c>
      <c r="EE30" s="12"/>
      <c r="EH30"/>
    </row>
    <row r="31" spans="1:138" ht="16.5" customHeight="1">
      <c r="A31" s="19" t="s">
        <v>161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26"/>
      <c r="EE31" s="27"/>
      <c r="EH31"/>
    </row>
    <row r="32" spans="1:138" ht="16.5" customHeight="1">
      <c r="A32" s="2"/>
      <c r="B32" s="14">
        <v>2743.75</v>
      </c>
      <c r="C32" s="14">
        <v>2752.74</v>
      </c>
      <c r="D32" s="14">
        <v>2763.77</v>
      </c>
      <c r="E32" s="14">
        <v>2772.33</v>
      </c>
      <c r="F32" s="14">
        <v>2801.34</v>
      </c>
      <c r="G32" s="14">
        <v>2792.98</v>
      </c>
      <c r="H32" s="14">
        <v>2804.77</v>
      </c>
      <c r="I32" s="14">
        <v>2817.34</v>
      </c>
      <c r="J32" s="14">
        <v>2829.11</v>
      </c>
      <c r="K32" s="14">
        <v>2838</v>
      </c>
      <c r="L32" s="41">
        <f>466748/163.4256</f>
        <v>2856.0274522473833</v>
      </c>
      <c r="M32" s="41">
        <v>2867.14</v>
      </c>
      <c r="N32" s="41">
        <v>2893.43</v>
      </c>
      <c r="O32" s="41">
        <v>2897.73</v>
      </c>
      <c r="P32" s="41">
        <v>2906.51</v>
      </c>
      <c r="Q32" s="41">
        <v>2916.4</v>
      </c>
      <c r="R32" s="41">
        <v>2921.24</v>
      </c>
      <c r="S32" s="41">
        <v>2927.59</v>
      </c>
      <c r="T32" s="41">
        <f>479650/163.4256</f>
        <v>2934.974691847544</v>
      </c>
      <c r="U32" s="41">
        <f>480835/163.4256</f>
        <v>2942.2256978098903</v>
      </c>
      <c r="V32" s="41">
        <f>482897/163.4256</f>
        <v>2954.84306008361</v>
      </c>
      <c r="W32" s="41">
        <f>484389/163.4256</f>
        <v>2963.9725967045556</v>
      </c>
      <c r="X32" s="41">
        <f>485446/163.4256</f>
        <v>2970.4403716431207</v>
      </c>
      <c r="Y32" s="41">
        <f>486429/163.4256</f>
        <v>2976.455341146063</v>
      </c>
      <c r="Z32" s="41">
        <f>486824/163.4256</f>
        <v>2978.8723431335115</v>
      </c>
      <c r="AA32" s="41">
        <f>487909/163.4256</f>
        <v>2985.511449858529</v>
      </c>
      <c r="AB32" s="41">
        <f>489108/163.4256</f>
        <v>2992.848121714101</v>
      </c>
      <c r="AC32" s="41">
        <f>490909/163.4256</f>
        <v>3003.8684269783926</v>
      </c>
      <c r="AD32" s="41">
        <f>492381/163.4256</f>
        <v>3012.8755837518725</v>
      </c>
      <c r="AE32" s="41">
        <f>493924/163.4256</f>
        <v>3022.3171889838554</v>
      </c>
      <c r="AF32" s="41">
        <f>495835/163.4256</f>
        <v>3034.0105834092087</v>
      </c>
      <c r="AG32" s="41">
        <f>498854/163.4256</f>
        <v>3052.483821384165</v>
      </c>
      <c r="AH32" s="41">
        <f>499873/163.4256</f>
        <v>3058.7190746125452</v>
      </c>
      <c r="AI32" s="41">
        <f>501496/163.4256</f>
        <v>3068.6501992343915</v>
      </c>
      <c r="AJ32" s="41">
        <f>502808/163.4256</f>
        <v>3076.6783172281453</v>
      </c>
      <c r="AK32" s="41">
        <f>503421/163.4256</f>
        <v>3080.429259552971</v>
      </c>
      <c r="AL32" s="41">
        <f>504001/163.4256</f>
        <v>3083.978275129478</v>
      </c>
      <c r="AM32" s="41">
        <f>504927/163.4256</f>
        <v>3089.6444620671423</v>
      </c>
      <c r="AN32" s="41">
        <f>505671/163.4256</f>
        <v>3094.1969923928687</v>
      </c>
      <c r="AO32" s="41">
        <f>506634/163.4256</f>
        <v>3100.0895820483447</v>
      </c>
      <c r="AP32" s="41">
        <f>508845/163.4256</f>
        <v>3113.6186741856845</v>
      </c>
      <c r="AQ32" s="41">
        <f>511237/163.4256</f>
        <v>3128.2553039425893</v>
      </c>
      <c r="AR32" s="41">
        <f>512861/163.4256</f>
        <v>3138.1925475568087</v>
      </c>
      <c r="AS32" s="41">
        <f>513969/163.4256</f>
        <v>3144.9723911064116</v>
      </c>
      <c r="AT32" s="41">
        <f>515786/163.4256</f>
        <v>3156.090600248676</v>
      </c>
      <c r="AU32" s="41">
        <f>517633/163.4256</f>
        <v>3167.3923791621387</v>
      </c>
      <c r="AV32" s="41">
        <f>519081/163.4256</f>
        <v>3176.2526801186596</v>
      </c>
      <c r="AW32" s="41">
        <f>520099/163.4256</f>
        <v>3182.4818143546663</v>
      </c>
      <c r="AX32" s="41">
        <f>521153/163.4256</f>
        <v>3188.931232316112</v>
      </c>
      <c r="AY32" s="41">
        <f>522433/163.4256</f>
        <v>3196.7635425539206</v>
      </c>
      <c r="AZ32" s="41">
        <f>524471/163.4256</f>
        <v>3209.2340490106812</v>
      </c>
      <c r="BA32" s="41">
        <f>526060/163.4256</f>
        <v>3218.9571278918356</v>
      </c>
      <c r="BB32" s="41">
        <f>527706/163.4256</f>
        <v>3229.028989338268</v>
      </c>
      <c r="BC32" s="41">
        <f>529600/163.4256</f>
        <v>3240.6183608932747</v>
      </c>
      <c r="BD32" s="41">
        <f>531015/163.4256</f>
        <v>3249.2767351014772</v>
      </c>
      <c r="BE32" s="41">
        <f>533016/163.4256</f>
        <v>3261.520838840426</v>
      </c>
      <c r="BF32" s="41">
        <f>535648/163.4256</f>
        <v>3277.6260267669204</v>
      </c>
      <c r="BG32" s="41">
        <f>538174/163.4256</f>
        <v>3293.0826015018456</v>
      </c>
      <c r="BH32" s="41">
        <f>539798/163.4256</f>
        <v>3303.019845116065</v>
      </c>
      <c r="BI32" s="41">
        <f>541038/163.4256</f>
        <v>3310.607395658942</v>
      </c>
      <c r="BJ32" s="41">
        <f>542588/163.4256</f>
        <v>3320.091833837538</v>
      </c>
      <c r="BK32" s="41">
        <f>544320/163.4256</f>
        <v>3330.6899286280727</v>
      </c>
      <c r="BL32" s="41">
        <f>546243/163.4256</f>
        <v>3342.4567509619055</v>
      </c>
      <c r="BM32" s="41">
        <f>547001/163.4256</f>
        <v>3347.0949471808576</v>
      </c>
      <c r="BN32" s="41">
        <f>548428/163.4256</f>
        <v>3355.8267492975397</v>
      </c>
      <c r="BO32" s="41">
        <f>550886/163.4256</f>
        <v>3370.867232551081</v>
      </c>
      <c r="BP32" s="41">
        <f>552725/163.4256</f>
        <v>3382.1200595255577</v>
      </c>
      <c r="BQ32" s="41">
        <v>3395.07</v>
      </c>
      <c r="BR32" s="41">
        <v>3413</v>
      </c>
      <c r="BS32" s="41">
        <v>3424.64</v>
      </c>
      <c r="BT32" s="41">
        <f>561234/163.4256</f>
        <v>3434.1865656298646</v>
      </c>
      <c r="BU32" s="41">
        <f>562011/163.4256</f>
        <v>3438.9410227039093</v>
      </c>
      <c r="BV32" s="41">
        <f>563095/163.4256</f>
        <v>3445.574010436553</v>
      </c>
      <c r="BW32" s="41">
        <f>563838/163.4256</f>
        <v>3450.1204217699064</v>
      </c>
      <c r="BX32" s="41">
        <f>565444/163.4256</f>
        <v>3459.9475235214068</v>
      </c>
      <c r="BY32" s="41">
        <f>566444/163.4256</f>
        <v>3466.0665158946945</v>
      </c>
      <c r="BZ32" s="41">
        <f>567643/163.4256</f>
        <v>3473.4031877502666</v>
      </c>
      <c r="CA32" s="41">
        <f>569348/163.4256</f>
        <v>3483.8360697467224</v>
      </c>
      <c r="CB32" s="41">
        <f>571252/163.4256</f>
        <v>3495.4866312254626</v>
      </c>
      <c r="CC32" s="41">
        <f>573147/163.4256</f>
        <v>3507.0821217728435</v>
      </c>
      <c r="CD32" s="41">
        <f>576408/163.4256</f>
        <v>3527.0361559021353</v>
      </c>
      <c r="CE32" s="41">
        <f>578065/163.4256</f>
        <v>3537.1753262646735</v>
      </c>
      <c r="CF32" s="41">
        <f>579546/163.4256</f>
        <v>3546.2375539695126</v>
      </c>
      <c r="CG32" s="41">
        <f>580643/163.4256</f>
        <v>3552.9500886030096</v>
      </c>
      <c r="CH32" s="41">
        <f>588644/163.4256</f>
        <v>3601.908146581686</v>
      </c>
      <c r="CI32" s="41">
        <f>582840/163.4256</f>
        <v>3566.3935148471232</v>
      </c>
      <c r="CJ32" s="41">
        <f>585164/163.4256</f>
        <v>3580.6140531226442</v>
      </c>
      <c r="CK32" s="41">
        <f>586221/163.4256</f>
        <v>3587.0818280612093</v>
      </c>
      <c r="CL32" s="41">
        <f>587914/163.4256</f>
        <v>3597.441282149186</v>
      </c>
      <c r="CM32" s="41">
        <f>589188/163.4256</f>
        <v>3605.2368784327546</v>
      </c>
      <c r="CN32" s="41">
        <f>591194/163.4256</f>
        <v>3617.51157713357</v>
      </c>
      <c r="CO32" s="41">
        <f>593012/163.4256</f>
        <v>3628.635905268208</v>
      </c>
      <c r="CP32" s="41">
        <f>595956/163.4256</f>
        <v>3646.650218815167</v>
      </c>
      <c r="CQ32" s="41">
        <f>597657/163.4256</f>
        <v>3657.05862484213</v>
      </c>
      <c r="CR32" s="41">
        <f>599168/163.4256</f>
        <v>3666.304422318168</v>
      </c>
      <c r="CS32" s="41">
        <f>600467/163.4256</f>
        <v>3674.252993411069</v>
      </c>
      <c r="CT32" s="41">
        <f>601936/163.4256</f>
        <v>3683.241793207429</v>
      </c>
      <c r="CU32" s="41">
        <f>603028/163.4256</f>
        <v>3689.923732879059</v>
      </c>
      <c r="CV32" s="41">
        <f>604962/163.4256</f>
        <v>3701.757864128998</v>
      </c>
      <c r="CW32" s="41">
        <f>607850/163.4256</f>
        <v>3719.4295141030534</v>
      </c>
      <c r="CX32" s="41">
        <f>610066/163.4256</f>
        <v>3732.9892012022597</v>
      </c>
      <c r="CY32" s="41">
        <f>613807/163.4256</f>
        <v>3755.8803516707294</v>
      </c>
      <c r="CZ32" s="41">
        <f>616494/163.4256</f>
        <v>3772.3220841777543</v>
      </c>
      <c r="DA32" s="65">
        <f>618330/163.4256</f>
        <v>3783.5565541751107</v>
      </c>
      <c r="DB32" s="65">
        <f>620920/163.4256</f>
        <v>3799.4047444219264</v>
      </c>
      <c r="DC32" s="65">
        <f>624471/163.4256</f>
        <v>3821.133286339472</v>
      </c>
      <c r="DD32" s="65">
        <f>626936/163.4256</f>
        <v>3836.2166025396264</v>
      </c>
      <c r="DE32" s="65">
        <f>631735/163.4256</f>
        <v>3865.581646939035</v>
      </c>
      <c r="DF32" s="65">
        <f>632006/163.4256</f>
        <v>3867.2398938721963</v>
      </c>
      <c r="DG32" s="65">
        <f>632419/163.4256</f>
        <v>3869.767037722364</v>
      </c>
      <c r="DH32" s="65">
        <f>632006/163.4256</f>
        <v>3867.2398938721963</v>
      </c>
      <c r="DI32" s="65">
        <f>633362/163.4256</f>
        <v>3875.5372475303748</v>
      </c>
      <c r="DJ32" s="65">
        <f>633083/163.4256</f>
        <v>3873.8300486582275</v>
      </c>
      <c r="DK32" s="65">
        <f>632535/163.4256</f>
        <v>3870.4768408376653</v>
      </c>
      <c r="DL32" s="65">
        <f>631763/163.4256</f>
        <v>3865.752978725487</v>
      </c>
      <c r="DM32" s="65">
        <f>632345/163.4256</f>
        <v>3869.3142322867407</v>
      </c>
      <c r="DN32" s="65">
        <f>635078/163.4256</f>
        <v>3886.0374384429365</v>
      </c>
      <c r="DO32" s="65">
        <f>637373/163.4256</f>
        <v>3900.0805259396325</v>
      </c>
      <c r="DP32" s="65">
        <f>639944/163.4256</f>
        <v>3915.8124553313555</v>
      </c>
      <c r="DQ32" s="65">
        <f>646739/163.4256</f>
        <v>3957.391008507847</v>
      </c>
      <c r="DR32" s="65">
        <f>645950/163.4256</f>
        <v>3952.5631235253227</v>
      </c>
      <c r="DS32" s="65">
        <f>645518/163.4256</f>
        <v>3949.9197188200624</v>
      </c>
      <c r="DT32" s="65">
        <f>644962/163.4256</f>
        <v>3946.5175590605145</v>
      </c>
      <c r="DU32" s="65">
        <f>645013/163.4256</f>
        <v>3946.829627671552</v>
      </c>
      <c r="DV32" s="65">
        <f>645786/163.4256</f>
        <v>3951.5596087761037</v>
      </c>
      <c r="DW32" s="65">
        <f>647045/163.4256</f>
        <v>3959.263420174073</v>
      </c>
      <c r="DX32" s="65">
        <f>649699/163.4256</f>
        <v>3975.503225932779</v>
      </c>
      <c r="DY32" s="65">
        <f>652023/163.4256</f>
        <v>3989.7237642083</v>
      </c>
      <c r="DZ32" s="65">
        <f>655571/163.4256</f>
        <v>4011.433949148726</v>
      </c>
      <c r="EA32" s="65">
        <f>657555/163.4256</f>
        <v>4023.574030017329</v>
      </c>
      <c r="EB32" s="65">
        <f>659025/163.4256</f>
        <v>4032.568948806062</v>
      </c>
      <c r="EC32" s="65">
        <f>659746/163.4256</f>
        <v>4036.9807423072025</v>
      </c>
      <c r="ED32" s="7">
        <f>EC32-EB32</f>
        <v>4.411793501140437</v>
      </c>
      <c r="EE32" s="15"/>
      <c r="EH32"/>
    </row>
    <row r="33" spans="1:138" ht="16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35" t="s">
        <v>16</v>
      </c>
      <c r="EE33" s="12"/>
      <c r="EH33"/>
    </row>
    <row r="34" spans="1:138" ht="16.5" customHeight="1">
      <c r="A34" s="19" t="s">
        <v>162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29"/>
      <c r="EE34" s="27"/>
      <c r="EF34" s="70"/>
      <c r="EH34"/>
    </row>
    <row r="35" spans="1:138" ht="16.5" customHeight="1">
      <c r="A35" s="2"/>
      <c r="B35" s="16">
        <v>24.81</v>
      </c>
      <c r="C35" s="16">
        <v>24.83</v>
      </c>
      <c r="D35" s="16">
        <v>24.85</v>
      </c>
      <c r="E35" s="16">
        <v>23.72</v>
      </c>
      <c r="F35" s="16">
        <v>23.74</v>
      </c>
      <c r="G35" s="16">
        <v>23.71</v>
      </c>
      <c r="H35" s="16">
        <v>23.71</v>
      </c>
      <c r="I35" s="16">
        <v>23.29</v>
      </c>
      <c r="J35" s="16">
        <v>23.26</v>
      </c>
      <c r="K35" s="16">
        <v>23.28</v>
      </c>
      <c r="L35" s="16">
        <f>3808/163.4256</f>
        <v>23.301122957480345</v>
      </c>
      <c r="M35" s="16">
        <v>23.36</v>
      </c>
      <c r="N35" s="16">
        <v>23.4</v>
      </c>
      <c r="O35" s="16">
        <v>23.41</v>
      </c>
      <c r="P35" s="16">
        <v>23.5</v>
      </c>
      <c r="Q35" s="16">
        <v>23.53</v>
      </c>
      <c r="R35" s="16">
        <v>23.52</v>
      </c>
      <c r="S35" s="16">
        <v>23.48</v>
      </c>
      <c r="T35" s="44">
        <f>3841/163.4256</f>
        <v>23.503049705798848</v>
      </c>
      <c r="U35" s="44">
        <f>3839/163.4256</f>
        <v>23.49081172105227</v>
      </c>
      <c r="V35" s="44">
        <f>3838/163.4256</f>
        <v>23.484692728678983</v>
      </c>
      <c r="W35" s="44">
        <f>3841/163.4256</f>
        <v>23.503049705798848</v>
      </c>
      <c r="X35" s="44">
        <f>3841/163.4256</f>
        <v>23.503049705798848</v>
      </c>
      <c r="Y35" s="44">
        <f>3839/163.4256</f>
        <v>23.49081172105227</v>
      </c>
      <c r="Z35" s="44">
        <f>3834/163.4256</f>
        <v>23.46021675918583</v>
      </c>
      <c r="AA35" s="44">
        <f>3831/163.4256</f>
        <v>23.44185978206597</v>
      </c>
      <c r="AB35" s="44">
        <f>3827/163.4256</f>
        <v>23.417383812572815</v>
      </c>
      <c r="AC35" s="44">
        <f>3831/163.4256</f>
        <v>23.44185978206597</v>
      </c>
      <c r="AD35" s="44">
        <f>3833/163.4256</f>
        <v>23.45409776681254</v>
      </c>
      <c r="AE35" s="44">
        <f>3833/163.4256</f>
        <v>23.45409776681254</v>
      </c>
      <c r="AF35" s="44">
        <f>3833/163.4256</f>
        <v>23.45409776681254</v>
      </c>
      <c r="AG35" s="44">
        <f>3852/163.4256</f>
        <v>23.57035862190501</v>
      </c>
      <c r="AH35" s="44">
        <f>3852/163.4256</f>
        <v>23.57035862190501</v>
      </c>
      <c r="AI35" s="44">
        <f>3863/163.4256</f>
        <v>23.63766753801118</v>
      </c>
      <c r="AJ35" s="44">
        <f>3868/163.4256</f>
        <v>23.66826249987762</v>
      </c>
      <c r="AK35" s="44">
        <f>3865/163.4256</f>
        <v>23.649905522757756</v>
      </c>
      <c r="AL35" s="44">
        <f>3862/163.4256</f>
        <v>23.63154854563789</v>
      </c>
      <c r="AM35" s="44">
        <f>3864/163.4256</f>
        <v>23.643786530384467</v>
      </c>
      <c r="AN35" s="44">
        <f>3862/163.4256</f>
        <v>23.63154854563789</v>
      </c>
      <c r="AO35" s="44">
        <f>3865/163.4256</f>
        <v>23.649905522757756</v>
      </c>
      <c r="AP35" s="44">
        <f>3861/163.4256</f>
        <v>23.625429553264606</v>
      </c>
      <c r="AQ35" s="44">
        <f>3861/163.4256</f>
        <v>23.625429553264606</v>
      </c>
      <c r="AR35" s="44">
        <f>3859/163.4256</f>
        <v>23.61319156851803</v>
      </c>
      <c r="AS35" s="44">
        <f>3859/163.4256</f>
        <v>23.61319156851803</v>
      </c>
      <c r="AT35" s="44">
        <f>3841/163.4256</f>
        <v>23.503049705798848</v>
      </c>
      <c r="AU35" s="44">
        <f>3851/163.4256</f>
        <v>23.564239629531727</v>
      </c>
      <c r="AV35" s="44">
        <f>3855/163.4256</f>
        <v>23.588715599024876</v>
      </c>
      <c r="AW35" s="44">
        <f>3852/163.4256</f>
        <v>23.57035862190501</v>
      </c>
      <c r="AX35" s="44">
        <f>3860/163.4256</f>
        <v>23.619310560891318</v>
      </c>
      <c r="AY35" s="44">
        <f>3863/163.4256</f>
        <v>23.63766753801118</v>
      </c>
      <c r="AZ35" s="44">
        <f>3864/163.4256</f>
        <v>23.643786530384467</v>
      </c>
      <c r="BA35" s="44">
        <f>3421/163.4256</f>
        <v>20.933072909017927</v>
      </c>
      <c r="BB35" s="44">
        <f>3409/163.4256</f>
        <v>20.85964500053847</v>
      </c>
      <c r="BC35" s="44">
        <f>3406/163.4256</f>
        <v>20.841288023418606</v>
      </c>
      <c r="BD35" s="44">
        <f>3413/163.4256</f>
        <v>20.884120970031624</v>
      </c>
      <c r="BE35" s="44">
        <f>3420/163.4256</f>
        <v>20.92695391664464</v>
      </c>
      <c r="BF35" s="44">
        <f>3420/163.4256</f>
        <v>20.92695391664464</v>
      </c>
      <c r="BG35" s="44">
        <f>3421/163.4256</f>
        <v>20.933072909017927</v>
      </c>
      <c r="BH35" s="44">
        <f>3417/163.4256</f>
        <v>20.908596939524774</v>
      </c>
      <c r="BI35" s="44">
        <f>3414/163.4256</f>
        <v>20.89023996240491</v>
      </c>
      <c r="BJ35" s="44">
        <f>3420/163.4256</f>
        <v>20.92695391664464</v>
      </c>
      <c r="BK35" s="44">
        <f>3426/163.4256</f>
        <v>20.963667870884365</v>
      </c>
      <c r="BL35" s="44">
        <f>3427/163.4256</f>
        <v>20.969786863257653</v>
      </c>
      <c r="BM35" s="44">
        <f>3429/163.4256</f>
        <v>20.98202484800423</v>
      </c>
      <c r="BN35" s="44">
        <f>3430/163.4256</f>
        <v>20.988143840377518</v>
      </c>
      <c r="BO35" s="44">
        <f>3425/163.4256</f>
        <v>20.957548878511076</v>
      </c>
      <c r="BP35" s="44">
        <f>3425/163.4256</f>
        <v>20.957548878511076</v>
      </c>
      <c r="BQ35" s="44">
        <v>20.97</v>
      </c>
      <c r="BR35" s="44">
        <v>20.63</v>
      </c>
      <c r="BS35" s="44">
        <v>20.68</v>
      </c>
      <c r="BT35" s="44">
        <f>3381/163.4256</f>
        <v>20.68831321408641</v>
      </c>
      <c r="BU35" s="44">
        <f>3381/163.4256</f>
        <v>20.68831321408641</v>
      </c>
      <c r="BV35" s="44">
        <f>3377/163.4256</f>
        <v>20.663837244593257</v>
      </c>
      <c r="BW35" s="44">
        <f>3376/163.4256</f>
        <v>20.65771825221997</v>
      </c>
      <c r="BX35" s="44">
        <f>3367/163.4256</f>
        <v>20.602647320860378</v>
      </c>
      <c r="BY35" s="44">
        <f>3370/163.4256</f>
        <v>20.621004297980242</v>
      </c>
      <c r="BZ35" s="44">
        <f>3370/163.4256</f>
        <v>20.621004297980242</v>
      </c>
      <c r="CA35" s="44">
        <f>3375/163.4256</f>
        <v>20.651599259846684</v>
      </c>
      <c r="CB35" s="44">
        <f>3364/163.4256</f>
        <v>20.584290343740516</v>
      </c>
      <c r="CC35" s="44">
        <f>3371/163.4256</f>
        <v>20.62712329035353</v>
      </c>
      <c r="CD35" s="44">
        <f>3320/163.4256</f>
        <v>20.315054679315846</v>
      </c>
      <c r="CE35" s="44">
        <f>3323/163.4256</f>
        <v>20.33341165643571</v>
      </c>
      <c r="CF35" s="44">
        <f>3327/163.4256</f>
        <v>20.357887625928864</v>
      </c>
      <c r="CG35" s="44">
        <f>3328/163.4256</f>
        <v>20.36400661830215</v>
      </c>
      <c r="CH35" s="44">
        <f>3328/163.4256</f>
        <v>20.36400661830215</v>
      </c>
      <c r="CI35" s="44">
        <f>3335/163.4256</f>
        <v>20.406839564915167</v>
      </c>
      <c r="CJ35" s="44">
        <f>3337/163.4256</f>
        <v>20.419077549661743</v>
      </c>
      <c r="CK35" s="44">
        <f>3339/163.4256</f>
        <v>20.431315534408316</v>
      </c>
      <c r="CL35" s="44">
        <f>3338/163.4256</f>
        <v>20.425196542035028</v>
      </c>
      <c r="CM35" s="44">
        <f>3333/163.4256</f>
        <v>20.39460158016859</v>
      </c>
      <c r="CN35" s="44">
        <f>3332/163.4256</f>
        <v>20.388482587795302</v>
      </c>
      <c r="CO35" s="44">
        <f>3334/163.4256</f>
        <v>20.40072057254188</v>
      </c>
      <c r="CP35" s="52">
        <f>3325/163.4256</f>
        <v>20.345649641182288</v>
      </c>
      <c r="CQ35" s="52">
        <f>3331/163.4256</f>
        <v>20.382363595422014</v>
      </c>
      <c r="CR35" s="52">
        <f>3322/163.4256</f>
        <v>20.327292664062423</v>
      </c>
      <c r="CS35" s="52">
        <f>3319/163.4256</f>
        <v>20.308935686942558</v>
      </c>
      <c r="CT35" s="52">
        <f>3322/163.4256</f>
        <v>20.327292664062423</v>
      </c>
      <c r="CU35" s="52">
        <f>3321/163.4256</f>
        <v>20.321173671689134</v>
      </c>
      <c r="CV35" s="52">
        <f>3318/163.4256</f>
        <v>20.302816694569273</v>
      </c>
      <c r="CW35" s="52">
        <f>3316/163.4256</f>
        <v>20.290578709822697</v>
      </c>
      <c r="CX35" s="52">
        <f>3307/163.4256</f>
        <v>20.235507778463106</v>
      </c>
      <c r="CY35" s="52">
        <f>3309/163.4256</f>
        <v>20.24774576320968</v>
      </c>
      <c r="CZ35" s="52">
        <f>3305/163.4256</f>
        <v>20.22326979371653</v>
      </c>
      <c r="DA35" s="52">
        <f>3301/163.4256</f>
        <v>20.198793824223376</v>
      </c>
      <c r="DB35" s="52">
        <f>3257/163.4256</f>
        <v>19.92955815979871</v>
      </c>
      <c r="DC35" s="52">
        <f>3263/163.4256</f>
        <v>19.966272114038436</v>
      </c>
      <c r="DD35" s="52">
        <f>3260/163.4256</f>
        <v>19.947915136918574</v>
      </c>
      <c r="DE35" s="52">
        <f>3258/163.4256</f>
        <v>19.935677152171998</v>
      </c>
      <c r="DF35" s="52">
        <f>3262/163.4256</f>
        <v>19.960153121665147</v>
      </c>
      <c r="DG35" s="52">
        <f>3263/163.4256</f>
        <v>19.966272114038436</v>
      </c>
      <c r="DH35" s="52">
        <f>3261/163.4256</f>
        <v>19.954034129291863</v>
      </c>
      <c r="DI35" s="52">
        <f>3261/163.4256</f>
        <v>19.954034129291863</v>
      </c>
      <c r="DJ35" s="52">
        <f>3261/163.4256</f>
        <v>19.954034129291863</v>
      </c>
      <c r="DK35" s="52">
        <f>3251/163.4256</f>
        <v>19.892844205558983</v>
      </c>
      <c r="DL35" s="52">
        <f>3253/163.4256</f>
        <v>19.905082190305556</v>
      </c>
      <c r="DM35" s="52">
        <f>3253/163.4256</f>
        <v>19.905082190305556</v>
      </c>
      <c r="DN35" s="52">
        <f>3253/163.4256</f>
        <v>19.905082190305556</v>
      </c>
      <c r="DO35" s="52">
        <f>3257/163.4256</f>
        <v>19.92955815979871</v>
      </c>
      <c r="DP35" s="52">
        <f>3254/163.4256</f>
        <v>19.911201182678845</v>
      </c>
      <c r="DQ35" s="52">
        <f>3193/163.4256</f>
        <v>19.537942647908284</v>
      </c>
      <c r="DR35" s="52">
        <f>3194/163.4256</f>
        <v>19.544061640281573</v>
      </c>
      <c r="DS35" s="52">
        <f>3189/163.4256</f>
        <v>19.51346667841513</v>
      </c>
      <c r="DT35" s="52">
        <f>3195/163.4256</f>
        <v>19.550180632654858</v>
      </c>
      <c r="DU35" s="52">
        <f>3201/163.4256</f>
        <v>19.586894586894587</v>
      </c>
      <c r="DV35" s="52">
        <f>3202/163.4256</f>
        <v>19.593013579267875</v>
      </c>
      <c r="DW35" s="52">
        <f>3201/163.4256</f>
        <v>19.586894586894587</v>
      </c>
      <c r="DX35" s="52">
        <f>3199/163.4256</f>
        <v>19.57465660214801</v>
      </c>
      <c r="DY35" s="52">
        <f>3202/163.4256</f>
        <v>19.593013579267875</v>
      </c>
      <c r="DZ35" s="52">
        <f>3202/163.4256</f>
        <v>19.593013579267875</v>
      </c>
      <c r="EA35" s="52">
        <f>3207/163.4256</f>
        <v>19.623608541134313</v>
      </c>
      <c r="EB35" s="52">
        <f>3210/163.4256</f>
        <v>19.641965518254178</v>
      </c>
      <c r="EC35" s="52">
        <f>3199/163.4256</f>
        <v>19.57465660214801</v>
      </c>
      <c r="ED35" s="7">
        <f>EC35-EB35</f>
        <v>-0.06730891610616752</v>
      </c>
      <c r="EE35" s="15"/>
      <c r="EF35" s="70"/>
      <c r="EH35"/>
    </row>
    <row r="36" spans="1:138" ht="16.5" customHeight="1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35" t="s">
        <v>17</v>
      </c>
      <c r="EE36" s="30"/>
      <c r="EH36"/>
    </row>
    <row r="37" spans="1:138" ht="16.5" customHeight="1">
      <c r="A37" s="31" t="s">
        <v>163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44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49" t="s">
        <v>124</v>
      </c>
      <c r="EE37" s="20"/>
      <c r="EH37"/>
    </row>
    <row r="38" spans="1:138" ht="16.5" customHeight="1">
      <c r="A38" s="5" t="s">
        <v>7</v>
      </c>
      <c r="B38" s="8">
        <v>96.5</v>
      </c>
      <c r="C38" s="8">
        <v>133.75</v>
      </c>
      <c r="D38" s="8">
        <v>129.64</v>
      </c>
      <c r="E38" s="8">
        <v>152.58</v>
      </c>
      <c r="F38" s="8">
        <v>72.42</v>
      </c>
      <c r="G38" s="8">
        <v>109.58</v>
      </c>
      <c r="H38" s="8">
        <v>53.42</v>
      </c>
      <c r="I38" s="8">
        <v>73.09</v>
      </c>
      <c r="J38" s="8">
        <v>55.5</v>
      </c>
      <c r="K38" s="8">
        <v>128.33</v>
      </c>
      <c r="L38" s="8">
        <v>147</v>
      </c>
      <c r="M38" s="8">
        <v>82.17</v>
      </c>
      <c r="N38" s="8">
        <v>74.54</v>
      </c>
      <c r="O38" s="8">
        <v>111.3</v>
      </c>
      <c r="P38" s="8">
        <v>159.2</v>
      </c>
      <c r="Q38" s="8">
        <v>155.58</v>
      </c>
      <c r="R38" s="8">
        <v>77.27</v>
      </c>
      <c r="S38" s="8">
        <v>63.83</v>
      </c>
      <c r="T38" s="8">
        <v>61.83</v>
      </c>
      <c r="U38" s="8">
        <v>58.2</v>
      </c>
      <c r="V38" s="8">
        <v>81.91</v>
      </c>
      <c r="W38" s="8">
        <v>41</v>
      </c>
      <c r="X38" s="44">
        <v>141</v>
      </c>
      <c r="Y38" s="44" t="s">
        <v>49</v>
      </c>
      <c r="Z38" s="44">
        <v>111</v>
      </c>
      <c r="AA38" s="44" t="s">
        <v>49</v>
      </c>
      <c r="AB38" s="44">
        <v>109</v>
      </c>
      <c r="AC38" s="44">
        <v>159.62</v>
      </c>
      <c r="AD38" s="44">
        <v>62.42</v>
      </c>
      <c r="AE38" s="44" t="s">
        <v>49</v>
      </c>
      <c r="AF38" s="44">
        <v>74.17</v>
      </c>
      <c r="AG38" s="44">
        <v>95.53</v>
      </c>
      <c r="AH38" s="44" t="s">
        <v>49</v>
      </c>
      <c r="AI38" s="44">
        <v>78.96</v>
      </c>
      <c r="AJ38" s="44">
        <v>74.25</v>
      </c>
      <c r="AK38" s="44">
        <v>183.07</v>
      </c>
      <c r="AL38" s="44">
        <v>110.62</v>
      </c>
      <c r="AM38" s="44">
        <v>153.22</v>
      </c>
      <c r="AN38" s="44">
        <v>94.1</v>
      </c>
      <c r="AO38" s="44">
        <v>1014.05</v>
      </c>
      <c r="AP38" s="44">
        <v>86.52</v>
      </c>
      <c r="AQ38" s="44">
        <v>100.48</v>
      </c>
      <c r="AR38" s="44">
        <v>74.29</v>
      </c>
      <c r="AS38" s="44">
        <v>73.88</v>
      </c>
      <c r="AT38" s="44">
        <v>93.49</v>
      </c>
      <c r="AU38" s="44">
        <v>94.4</v>
      </c>
      <c r="AV38" s="44">
        <v>110.83</v>
      </c>
      <c r="AW38" s="44">
        <v>134.04</v>
      </c>
      <c r="AX38" s="44">
        <v>135.44</v>
      </c>
      <c r="AY38" s="44">
        <v>92.69</v>
      </c>
      <c r="AZ38" s="44">
        <v>99.6</v>
      </c>
      <c r="BA38" s="44">
        <v>124.65</v>
      </c>
      <c r="BB38" s="44">
        <v>107.04</v>
      </c>
      <c r="BC38" s="44">
        <v>82.91</v>
      </c>
      <c r="BD38" s="44">
        <v>58.34</v>
      </c>
      <c r="BE38" s="44">
        <v>70.31</v>
      </c>
      <c r="BF38" s="44">
        <v>82.54</v>
      </c>
      <c r="BG38" s="44">
        <v>104.6</v>
      </c>
      <c r="BH38" s="44">
        <v>127.65</v>
      </c>
      <c r="BI38" s="44">
        <v>134.15</v>
      </c>
      <c r="BJ38" s="44">
        <v>83.37</v>
      </c>
      <c r="BK38" s="44">
        <v>120.22</v>
      </c>
      <c r="BL38" s="44">
        <v>164.22</v>
      </c>
      <c r="BM38" s="44">
        <v>147.32</v>
      </c>
      <c r="BN38" s="44">
        <v>95.14</v>
      </c>
      <c r="BO38" s="44">
        <v>67.48</v>
      </c>
      <c r="BP38" s="44">
        <v>68.59</v>
      </c>
      <c r="BQ38" s="44">
        <v>51.54</v>
      </c>
      <c r="BR38" s="44">
        <v>136.35</v>
      </c>
      <c r="BS38" s="44">
        <v>48.82</v>
      </c>
      <c r="BT38" s="44" t="s">
        <v>49</v>
      </c>
      <c r="BU38" s="44">
        <v>181.13</v>
      </c>
      <c r="BV38" s="44">
        <v>71</v>
      </c>
      <c r="BW38" s="44">
        <v>91</v>
      </c>
      <c r="BX38" s="44">
        <v>139</v>
      </c>
      <c r="BY38" s="44">
        <v>141</v>
      </c>
      <c r="BZ38" s="44">
        <v>107</v>
      </c>
      <c r="CA38" s="44">
        <v>46</v>
      </c>
      <c r="CB38" s="44">
        <v>61</v>
      </c>
      <c r="CC38" s="44">
        <v>55.16</v>
      </c>
      <c r="CD38" s="50">
        <v>75.11</v>
      </c>
      <c r="CE38" s="50">
        <v>126.34</v>
      </c>
      <c r="CF38" s="50">
        <v>89.23</v>
      </c>
      <c r="CG38" s="51">
        <v>67.83</v>
      </c>
      <c r="CH38" s="50">
        <v>63.77</v>
      </c>
      <c r="CI38" s="44">
        <v>74</v>
      </c>
      <c r="CJ38" s="44">
        <v>55.5</v>
      </c>
      <c r="CK38" s="44">
        <v>101.95</v>
      </c>
      <c r="CL38" s="44">
        <v>91.14</v>
      </c>
      <c r="CM38" s="44">
        <v>60.76</v>
      </c>
      <c r="CN38" s="44">
        <v>64.63</v>
      </c>
      <c r="CO38" s="44">
        <v>65.78</v>
      </c>
      <c r="CP38" s="44">
        <v>81.76</v>
      </c>
      <c r="CQ38" s="44">
        <v>104.5</v>
      </c>
      <c r="CR38" s="44">
        <v>65.41</v>
      </c>
      <c r="CS38" s="44">
        <v>76.02</v>
      </c>
      <c r="CT38" s="44">
        <v>87.23</v>
      </c>
      <c r="CU38" s="44">
        <v>80.93</v>
      </c>
      <c r="CV38" s="44">
        <v>177.65</v>
      </c>
      <c r="CW38" s="44">
        <v>75.1</v>
      </c>
      <c r="CX38" s="44">
        <v>100.46</v>
      </c>
      <c r="CY38" s="44">
        <v>61.36</v>
      </c>
      <c r="CZ38" s="44">
        <v>70.98</v>
      </c>
      <c r="DA38" s="52">
        <v>72.34</v>
      </c>
      <c r="DB38" s="52">
        <v>120.92</v>
      </c>
      <c r="DC38" s="52">
        <v>90.84</v>
      </c>
      <c r="DD38" s="52">
        <v>99.03</v>
      </c>
      <c r="DE38" s="52">
        <v>77.43</v>
      </c>
      <c r="DF38" s="52">
        <v>62.5</v>
      </c>
      <c r="DG38" s="52">
        <v>87.39</v>
      </c>
      <c r="DH38" s="52">
        <v>91.68</v>
      </c>
      <c r="DI38" s="52">
        <v>60.86</v>
      </c>
      <c r="DJ38" s="52">
        <v>64.1</v>
      </c>
      <c r="DK38" s="52">
        <v>49.9</v>
      </c>
      <c r="DL38" s="52">
        <v>40.83</v>
      </c>
      <c r="DM38" s="52">
        <v>41.26</v>
      </c>
      <c r="DN38" s="52">
        <v>79.44</v>
      </c>
      <c r="DO38" s="52">
        <v>82.65</v>
      </c>
      <c r="DP38" s="52">
        <v>75.94</v>
      </c>
      <c r="DQ38" s="52">
        <v>87.64</v>
      </c>
      <c r="DR38" s="52">
        <v>79.55</v>
      </c>
      <c r="DS38" s="52">
        <v>67.89</v>
      </c>
      <c r="DT38" s="52">
        <v>64.94</v>
      </c>
      <c r="DU38" s="52">
        <v>50.74</v>
      </c>
      <c r="DV38" s="52">
        <v>66.74</v>
      </c>
      <c r="DW38" s="52">
        <v>38.75</v>
      </c>
      <c r="DX38" s="52">
        <v>48.65</v>
      </c>
      <c r="DY38" s="52">
        <v>48.59</v>
      </c>
      <c r="DZ38" s="52">
        <v>49.24</v>
      </c>
      <c r="EA38" s="52">
        <v>54.8</v>
      </c>
      <c r="EB38" s="52">
        <v>55.02</v>
      </c>
      <c r="EC38" s="52">
        <v>111.53</v>
      </c>
      <c r="ED38" s="7">
        <f>(EC38/EB38-1)*100</f>
        <v>102.70810614322063</v>
      </c>
      <c r="EE38" s="13"/>
      <c r="EH38"/>
    </row>
    <row r="39" spans="1:138" ht="16.5" customHeight="1">
      <c r="A39" s="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44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34" t="s">
        <v>18</v>
      </c>
      <c r="EE39" s="12"/>
      <c r="EH39"/>
    </row>
    <row r="40" spans="1:138" ht="16.5" customHeight="1">
      <c r="A40" s="2" t="s">
        <v>164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21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8"/>
      <c r="EE40" s="11"/>
      <c r="EH40"/>
    </row>
    <row r="41" spans="1:138" ht="16.5" customHeight="1">
      <c r="A41" s="2"/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9">
        <v>7.35</v>
      </c>
      <c r="K41" s="32">
        <v>0</v>
      </c>
      <c r="L41" s="32">
        <v>0</v>
      </c>
      <c r="M41" s="32">
        <v>0</v>
      </c>
      <c r="N41" s="43" t="s">
        <v>38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44">
        <f>1/40*100</f>
        <v>2.5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68">
        <v>0</v>
      </c>
      <c r="DB41" s="68">
        <v>0</v>
      </c>
      <c r="DC41" s="68">
        <v>0</v>
      </c>
      <c r="DD41" s="68">
        <v>0</v>
      </c>
      <c r="DE41" s="68">
        <v>0</v>
      </c>
      <c r="DF41" s="68">
        <v>0</v>
      </c>
      <c r="DG41" s="68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v>0</v>
      </c>
      <c r="DO41" s="68">
        <v>0</v>
      </c>
      <c r="DP41" s="68">
        <v>0</v>
      </c>
      <c r="DQ41" s="68">
        <v>0</v>
      </c>
      <c r="DR41" s="68">
        <v>0</v>
      </c>
      <c r="DS41" s="68">
        <v>0</v>
      </c>
      <c r="DT41" s="68">
        <v>0</v>
      </c>
      <c r="DU41" s="68">
        <v>0</v>
      </c>
      <c r="DV41" s="68">
        <v>0</v>
      </c>
      <c r="DW41" s="68">
        <v>0</v>
      </c>
      <c r="DX41" s="68">
        <v>0</v>
      </c>
      <c r="DY41" s="68">
        <v>0</v>
      </c>
      <c r="DZ41" s="68">
        <v>0</v>
      </c>
      <c r="EA41" s="68">
        <v>0</v>
      </c>
      <c r="EB41" s="68">
        <v>0</v>
      </c>
      <c r="EC41" s="68">
        <v>0</v>
      </c>
      <c r="ED41" s="46">
        <v>0</v>
      </c>
      <c r="EE41" s="11" t="s">
        <v>29</v>
      </c>
      <c r="EH41"/>
    </row>
    <row r="42" spans="1:138" ht="16.5" customHeight="1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34" t="s">
        <v>13</v>
      </c>
      <c r="EE42" s="11"/>
      <c r="EH42"/>
    </row>
    <row r="43" spans="1:138" ht="16.5" customHeight="1">
      <c r="A43" s="18" t="s">
        <v>150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18"/>
      <c r="EE43" s="18"/>
      <c r="EH43"/>
    </row>
    <row r="44" ht="16.5">
      <c r="A44" s="73" t="s">
        <v>151</v>
      </c>
    </row>
    <row r="47" spans="1:134" ht="16.5" hidden="1">
      <c r="A47" s="73" t="s">
        <v>153</v>
      </c>
      <c r="DF47" s="70">
        <v>1066843</v>
      </c>
      <c r="DG47" s="70">
        <v>1067366</v>
      </c>
      <c r="DH47" s="70">
        <v>1068537</v>
      </c>
      <c r="DI47" s="70">
        <v>1068951</v>
      </c>
      <c r="DJ47" s="70">
        <v>1069354</v>
      </c>
      <c r="DK47" s="70">
        <v>1070145</v>
      </c>
      <c r="DL47" s="70">
        <v>1070657</v>
      </c>
      <c r="DM47" s="70">
        <v>1070792</v>
      </c>
      <c r="DN47" s="70">
        <v>1071117</v>
      </c>
      <c r="DO47" s="70">
        <v>1071946</v>
      </c>
      <c r="DP47" s="70">
        <v>1072738</v>
      </c>
      <c r="DQ47" s="70">
        <v>1073635</v>
      </c>
      <c r="DR47" s="70">
        <v>1074277</v>
      </c>
      <c r="DS47" s="70">
        <v>1074897</v>
      </c>
      <c r="DT47" s="70">
        <v>1076161</v>
      </c>
      <c r="DU47" s="70">
        <v>1077182</v>
      </c>
      <c r="DV47" s="70">
        <v>1077996</v>
      </c>
      <c r="DW47" s="70">
        <v>1078023</v>
      </c>
      <c r="DX47" s="70">
        <v>1079343</v>
      </c>
      <c r="DY47" s="70">
        <v>1080140</v>
      </c>
      <c r="DZ47" s="70">
        <v>1080617</v>
      </c>
      <c r="EA47" s="70">
        <v>1081487</v>
      </c>
      <c r="EB47" s="70">
        <v>1082163</v>
      </c>
      <c r="EC47" s="70">
        <v>1082299</v>
      </c>
      <c r="ED47" s="70"/>
    </row>
  </sheetData>
  <sheetProtection/>
  <mergeCells count="2">
    <mergeCell ref="A2:A3"/>
    <mergeCell ref="EE2:EE3"/>
  </mergeCells>
  <printOptions horizontalCentered="1"/>
  <pageMargins left="0" right="0" top="0.7874015748031497" bottom="0.3937007874015748" header="0.35433070866141736" footer="0"/>
  <pageSetup horizontalDpi="180" verticalDpi="180" orientation="landscape" paperSize="9" scale="50" r:id="rId1"/>
  <headerFooter alignWithMargins="0">
    <oddHeader>&amp;R&amp;"華康隸書體W5,標準"環境保護</oddHeader>
    <oddFooter>&amp;C&amp;"華康隸書體W5,標準"第 5 頁</oddFooter>
  </headerFooter>
  <ignoredErrors>
    <ignoredError sqref="CH11 CJ26 CJ32 CS35 DG29 DG32 DR17 DV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重要施政指標</dc:title>
  <dc:subject/>
  <dc:creator>ACCOUNTANT</dc:creator>
  <cp:keywords/>
  <dc:description/>
  <cp:lastModifiedBy>tccggod</cp:lastModifiedBy>
  <cp:lastPrinted>2003-06-27T03:02:40Z</cp:lastPrinted>
  <dcterms:created xsi:type="dcterms:W3CDTF">1998-07-09T00:19:46Z</dcterms:created>
  <dcterms:modified xsi:type="dcterms:W3CDTF">2011-10-19T07:08:54Z</dcterms:modified>
  <cp:category/>
  <cp:version/>
  <cp:contentType/>
  <cp:contentStatus/>
</cp:coreProperties>
</file>