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8295" windowHeight="3540" tabRatio="601" activeTab="0"/>
  </bookViews>
  <sheets>
    <sheet name="4醫療衛生" sheetId="1" r:id="rId1"/>
  </sheets>
  <definedNames>
    <definedName name="_xlnm.Print_Titles" localSheetId="0">'4醫療衛生'!$2:$3</definedName>
  </definedNames>
  <calcPr fullCalcOnLoad="1"/>
</workbook>
</file>

<file path=xl/sharedStrings.xml><?xml version="1.0" encoding="utf-8"?>
<sst xmlns="http://schemas.openxmlformats.org/spreadsheetml/2006/main" count="189" uniqueCount="144">
  <si>
    <t>指      標      數</t>
  </si>
  <si>
    <t>執行績效說明</t>
  </si>
  <si>
    <t>本月較上月比較</t>
  </si>
  <si>
    <t>四、醫療衛生</t>
  </si>
  <si>
    <r>
      <t>4.</t>
    </r>
    <r>
      <rPr>
        <sz val="12"/>
        <rFont val="新細明體"/>
        <family val="1"/>
      </rPr>
      <t>現有藥商家數</t>
    </r>
    <r>
      <rPr>
        <sz val="12"/>
        <rFont val="Times New Roman"/>
        <family val="1"/>
      </rPr>
      <t xml:space="preserve">  ( </t>
    </r>
    <r>
      <rPr>
        <sz val="12"/>
        <rFont val="新細明體"/>
        <family val="1"/>
      </rPr>
      <t>家</t>
    </r>
    <r>
      <rPr>
        <sz val="12"/>
        <rFont val="Times New Roman"/>
        <family val="1"/>
      </rPr>
      <t xml:space="preserve"> )</t>
    </r>
  </si>
  <si>
    <t>89年1月</t>
  </si>
  <si>
    <t>89年2月</t>
  </si>
  <si>
    <t>89年3月</t>
  </si>
  <si>
    <t>88年12月</t>
  </si>
  <si>
    <t>89年4月</t>
  </si>
  <si>
    <t>89年5月</t>
  </si>
  <si>
    <t>89年6月</t>
  </si>
  <si>
    <t>89年7月</t>
  </si>
  <si>
    <t>89年8月</t>
  </si>
  <si>
    <t>89年9月</t>
  </si>
  <si>
    <t>89年10月</t>
  </si>
  <si>
    <r>
      <t>89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11</t>
    </r>
    <r>
      <rPr>
        <b/>
        <sz val="14"/>
        <rFont val="標楷體"/>
        <family val="4"/>
      </rPr>
      <t>月</t>
    </r>
  </si>
  <si>
    <t>項        目</t>
  </si>
  <si>
    <r>
      <t>89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</si>
  <si>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</si>
  <si>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</si>
  <si>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</si>
  <si>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</si>
  <si>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</si>
  <si>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細明體"/>
        <family val="3"/>
      </rPr>
      <t>月</t>
    </r>
  </si>
  <si>
    <t>指標數</t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</si>
  <si>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</si>
  <si>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</si>
  <si>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</si>
  <si>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</si>
  <si>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</t>
    </r>
    <r>
      <rPr>
        <b/>
        <sz val="14"/>
        <rFont val="細明體"/>
        <family val="3"/>
      </rPr>
      <t>月</t>
    </r>
  </si>
  <si>
    <r>
      <t>90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</si>
  <si>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</si>
  <si>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</si>
  <si>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</si>
  <si>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</si>
  <si>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</si>
  <si>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</si>
  <si>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</si>
  <si>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</t>
    </r>
    <r>
      <rPr>
        <b/>
        <sz val="14"/>
        <rFont val="細明體"/>
        <family val="3"/>
      </rPr>
      <t>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</si>
  <si>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</t>
    </r>
    <r>
      <rPr>
        <b/>
        <sz val="14"/>
        <rFont val="細明體"/>
        <family val="3"/>
      </rPr>
      <t>月</t>
    </r>
  </si>
  <si>
    <t>-</t>
  </si>
  <si>
    <t>-</t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</si>
  <si>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</si>
  <si>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91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</si>
  <si>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</si>
  <si>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</si>
  <si>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</si>
  <si>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</si>
  <si>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</si>
  <si>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</si>
  <si>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</si>
  <si>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</si>
  <si>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</si>
  <si>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</si>
  <si>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</si>
  <si>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92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</si>
  <si>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</si>
  <si>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</si>
  <si>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</si>
  <si>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</si>
  <si>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</si>
  <si>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</si>
  <si>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</si>
  <si>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</si>
  <si>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</si>
  <si>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</si>
  <si>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</si>
  <si>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93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</si>
  <si>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</si>
  <si>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</si>
  <si>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</si>
  <si>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</si>
  <si>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</si>
  <si>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</si>
  <si>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</si>
  <si>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</si>
  <si>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</si>
  <si>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</si>
  <si>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</si>
  <si>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94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</si>
  <si>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</si>
  <si>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</si>
  <si>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</si>
  <si>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</si>
  <si>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</si>
  <si>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</si>
  <si>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</si>
  <si>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</si>
  <si>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</si>
  <si>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</si>
  <si>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</t>
    </r>
    <r>
      <rPr>
        <b/>
        <sz val="14"/>
        <rFont val="細明體"/>
        <family val="3"/>
      </rPr>
      <t>月</t>
    </r>
  </si>
  <si>
    <r>
      <t>95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</si>
  <si>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</si>
  <si>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</si>
  <si>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</si>
  <si>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</si>
  <si>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</si>
  <si>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</si>
  <si>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</si>
  <si>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</si>
  <si>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</t>
    </r>
    <r>
      <rPr>
        <b/>
        <sz val="14"/>
        <rFont val="細明體"/>
        <family val="3"/>
      </rPr>
      <t>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</si>
  <si>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</si>
  <si>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</si>
  <si>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96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</si>
  <si>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</si>
  <si>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</si>
  <si>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</si>
  <si>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</si>
  <si>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</si>
  <si>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</si>
  <si>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</si>
  <si>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</si>
  <si>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</si>
  <si>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</si>
  <si>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</si>
  <si>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97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</si>
  <si>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</si>
  <si>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</si>
  <si>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</si>
  <si>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</si>
  <si>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</si>
  <si>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</si>
  <si>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</si>
  <si>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</si>
  <si>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</si>
  <si>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</si>
  <si>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</si>
  <si>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1.</t>
    </r>
    <r>
      <rPr>
        <sz val="12"/>
        <rFont val="新細明體"/>
        <family val="1"/>
      </rPr>
      <t>食品衛生檢驗不合格率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（％）</t>
    </r>
  </si>
  <si>
    <r>
      <t xml:space="preserve"> 2.</t>
    </r>
    <r>
      <rPr>
        <sz val="12"/>
        <rFont val="新細明體"/>
        <family val="1"/>
      </rPr>
      <t>食品製造廠商衛生檢查不合</t>
    </r>
    <r>
      <rPr>
        <sz val="12"/>
        <rFont val="Times New Roman"/>
        <family val="1"/>
      </rPr>
      <t xml:space="preserve">                                                                     </t>
    </r>
    <r>
      <rPr>
        <sz val="14"/>
        <color indexed="9"/>
        <rFont val="Times New Roman"/>
        <family val="1"/>
      </rPr>
      <t>…</t>
    </r>
    <r>
      <rPr>
        <sz val="12"/>
        <rFont val="新細明體"/>
        <family val="1"/>
      </rPr>
      <t>格率（％）</t>
    </r>
  </si>
  <si>
    <r>
      <t xml:space="preserve">  3.</t>
    </r>
    <r>
      <rPr>
        <sz val="12"/>
        <rFont val="新細明體"/>
        <family val="1"/>
      </rPr>
      <t>營業場所衛生檢查不合格率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（％）</t>
    </r>
  </si>
  <si>
    <r>
      <t>98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</si>
  <si>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</si>
  <si>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2月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</si>
  <si>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3月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</si>
  <si>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4月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</si>
  <si>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5月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</si>
  <si>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6月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</si>
  <si>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7月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</si>
  <si>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8月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</si>
  <si>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9月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</si>
  <si>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10月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</si>
  <si>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11月</t>
    </r>
  </si>
  <si>
    <r>
      <t>99</t>
    </r>
    <r>
      <rPr>
        <b/>
        <sz val="14"/>
        <rFont val="細明體"/>
        <family val="3"/>
      </rPr>
      <t>年</t>
    </r>
    <r>
      <rPr>
        <b/>
        <sz val="14"/>
        <rFont val="Times New Roman"/>
        <family val="1"/>
      </rPr>
      <t>12月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</si>
</sst>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.0"/>
    <numFmt numFmtId="186" formatCode="0.000"/>
    <numFmt numFmtId="187" formatCode="0.0000"/>
    <numFmt numFmtId="188" formatCode="#,###"/>
    <numFmt numFmtId="189" formatCode="_(* #,##0.0_);_(* \(#,##0.0\);_(* &quot;-&quot;_);_(@_)"/>
    <numFmt numFmtId="190" formatCode="_(* #,##0.00_);_(* \(#,##0.00\);_(* &quot;-&quot;_);_(@_)"/>
    <numFmt numFmtId="191" formatCode="_(* #,##0.000_);_(* \(#,##0.000\);_(* &quot;-&quot;_);_(@_)"/>
    <numFmt numFmtId="192" formatCode="_(* #,##0.0000_);_(* \(#,##0.0000\);_(* &quot;-&quot;_);_(@_)"/>
    <numFmt numFmtId="193" formatCode="#,##0.0"/>
    <numFmt numFmtId="194" formatCode="0.00000"/>
    <numFmt numFmtId="195" formatCode="_(* #,##0.0_);_(* \(#,##0.0\);_(* &quot;-&quot;??_);_(@_)"/>
    <numFmt numFmtId="196" formatCode="_(* #,##0_);_(* \(#,##0\);_(* &quot;-&quot;??_);_(@_)"/>
    <numFmt numFmtId="197" formatCode="#,##0.00_);[Red]\(#,##0.00\)"/>
    <numFmt numFmtId="198" formatCode="#,##0_);[Red]\(#,##0\)"/>
    <numFmt numFmtId="199" formatCode="0.00_);[Red]\(0.00\)"/>
    <numFmt numFmtId="200" formatCode="#,##0_ "/>
    <numFmt numFmtId="201" formatCode="#,##0.00_ "/>
    <numFmt numFmtId="202" formatCode="0.00_ "/>
    <numFmt numFmtId="203" formatCode="0.000000"/>
    <numFmt numFmtId="204" formatCode="0.0000000"/>
    <numFmt numFmtId="205" formatCode="0.00000000"/>
    <numFmt numFmtId="206" formatCode="_-* #,##0.0_-;\-* #,##0.0_-;_-* &quot;-&quot;_-;_-@_-"/>
    <numFmt numFmtId="207" formatCode="_-* #,##0.00_-;\-* #,##0.00_-;_-* &quot;-&quot;_-;_-@_-"/>
    <numFmt numFmtId="208" formatCode="0.0000000000"/>
    <numFmt numFmtId="209" formatCode="0.000000000"/>
    <numFmt numFmtId="210" formatCode="m&quot;月&quot;d&quot;日&quot;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24"/>
      <name val="華康隸書體W5"/>
      <family val="4"/>
    </font>
    <font>
      <b/>
      <sz val="14"/>
      <name val="Times New Roman"/>
      <family val="1"/>
    </font>
    <font>
      <b/>
      <sz val="14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4"/>
      <color indexed="9"/>
      <name val="Times New Roman"/>
      <family val="1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19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i/>
      <sz val="12"/>
      <color indexed="23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2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4" borderId="4" applyNumberFormat="0" applyFon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2" applyNumberFormat="0" applyAlignment="0" applyProtection="0"/>
    <xf numFmtId="0" fontId="48" fillId="23" borderId="8" applyNumberFormat="0" applyAlignment="0" applyProtection="0"/>
    <xf numFmtId="0" fontId="49" fillId="32" borderId="9" applyNumberFormat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17" xfId="33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7" xfId="33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98" fontId="0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202" fontId="0" fillId="0" borderId="12" xfId="0" applyNumberFormat="1" applyFont="1" applyBorder="1" applyAlignment="1">
      <alignment horizontal="center" vertical="center"/>
    </xf>
    <xf numFmtId="201" fontId="0" fillId="0" borderId="12" xfId="0" applyNumberFormat="1" applyFont="1" applyBorder="1" applyAlignment="1">
      <alignment horizontal="center" vertical="center"/>
    </xf>
    <xf numFmtId="195" fontId="0" fillId="0" borderId="12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196" fontId="0" fillId="0" borderId="12" xfId="34" applyNumberFormat="1" applyFont="1" applyBorder="1" applyAlignment="1">
      <alignment horizontal="center" vertical="center"/>
    </xf>
    <xf numFmtId="198" fontId="0" fillId="0" borderId="12" xfId="35" applyNumberFormat="1" applyFont="1" applyBorder="1" applyAlignment="1">
      <alignment horizontal="center" vertical="center"/>
    </xf>
    <xf numFmtId="198" fontId="0" fillId="0" borderId="12" xfId="35" applyNumberFormat="1" applyFont="1" applyBorder="1" applyAlignment="1">
      <alignment horizontal="center" vertical="center"/>
    </xf>
    <xf numFmtId="198" fontId="0" fillId="0" borderId="12" xfId="35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醫療衛生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4醫療衛生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壞_4醫療衛生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4"/>
  <sheetViews>
    <sheetView showGridLines="0" tabSelected="1" zoomScale="75" zoomScaleNormal="75" zoomScalePageLayoutView="0" workbookViewId="0" topLeftCell="DY1">
      <selection activeCell="EE7" sqref="EE7"/>
    </sheetView>
  </sheetViews>
  <sheetFormatPr defaultColWidth="9.00390625" defaultRowHeight="15.75"/>
  <cols>
    <col min="1" max="1" width="28.125" style="0" customWidth="1"/>
    <col min="2" max="2" width="12.875" style="0" hidden="1" customWidth="1"/>
    <col min="3" max="4" width="11.75390625" style="0" hidden="1" customWidth="1"/>
    <col min="5" max="9" width="10.625" style="0" hidden="1" customWidth="1"/>
    <col min="10" max="12" width="11.625" style="0" hidden="1" customWidth="1"/>
    <col min="13" max="114" width="12.375" style="0" hidden="1" customWidth="1"/>
    <col min="115" max="133" width="12.375" style="0" customWidth="1"/>
    <col min="134" max="134" width="12.375" style="0" hidden="1" customWidth="1"/>
    <col min="135" max="135" width="17.625" style="0" customWidth="1"/>
    <col min="136" max="136" width="33.50390625" style="0" hidden="1" customWidth="1"/>
    <col min="137" max="138" width="10.625" style="0" customWidth="1"/>
    <col min="139" max="139" width="10.625" style="3" customWidth="1"/>
  </cols>
  <sheetData>
    <row r="1" spans="1:138" ht="29.25">
      <c r="A1" s="8" t="s">
        <v>3</v>
      </c>
      <c r="B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6" s="1" customFormat="1" ht="18" customHeight="1">
      <c r="A2" s="39" t="s">
        <v>17</v>
      </c>
      <c r="B2" s="10"/>
      <c r="C2" s="6" t="s">
        <v>0</v>
      </c>
      <c r="D2" s="11"/>
      <c r="E2" s="11"/>
      <c r="F2" s="11"/>
      <c r="G2" s="11"/>
      <c r="H2" s="11"/>
      <c r="I2" s="11"/>
      <c r="J2" s="11"/>
      <c r="K2" s="11" t="s">
        <v>25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2"/>
      <c r="EF2" s="39" t="s">
        <v>1</v>
      </c>
    </row>
    <row r="3" spans="1:139" ht="42" customHeight="1">
      <c r="A3" s="40"/>
      <c r="B3" s="7" t="s">
        <v>8</v>
      </c>
      <c r="C3" s="7" t="s">
        <v>5</v>
      </c>
      <c r="D3" s="7" t="s">
        <v>6</v>
      </c>
      <c r="E3" s="7" t="s">
        <v>7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13" t="s">
        <v>16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26</v>
      </c>
      <c r="V3" s="13" t="s">
        <v>27</v>
      </c>
      <c r="W3" s="13" t="s">
        <v>28</v>
      </c>
      <c r="X3" s="13" t="s">
        <v>29</v>
      </c>
      <c r="Y3" s="13" t="s">
        <v>30</v>
      </c>
      <c r="Z3" s="13" t="s">
        <v>31</v>
      </c>
      <c r="AA3" s="13" t="s">
        <v>32</v>
      </c>
      <c r="AB3" s="13" t="s">
        <v>33</v>
      </c>
      <c r="AC3" s="13" t="s">
        <v>34</v>
      </c>
      <c r="AD3" s="13" t="s">
        <v>35</v>
      </c>
      <c r="AE3" s="13" t="s">
        <v>36</v>
      </c>
      <c r="AF3" s="13" t="s">
        <v>37</v>
      </c>
      <c r="AG3" s="13" t="s">
        <v>38</v>
      </c>
      <c r="AH3" s="13" t="s">
        <v>39</v>
      </c>
      <c r="AI3" s="13" t="s">
        <v>40</v>
      </c>
      <c r="AJ3" s="13" t="s">
        <v>43</v>
      </c>
      <c r="AK3" s="13" t="s">
        <v>44</v>
      </c>
      <c r="AL3" s="13" t="s">
        <v>45</v>
      </c>
      <c r="AM3" s="13" t="s">
        <v>46</v>
      </c>
      <c r="AN3" s="13" t="s">
        <v>47</v>
      </c>
      <c r="AO3" s="13" t="s">
        <v>48</v>
      </c>
      <c r="AP3" s="13" t="s">
        <v>49</v>
      </c>
      <c r="AQ3" s="13" t="s">
        <v>50</v>
      </c>
      <c r="AR3" s="13" t="s">
        <v>51</v>
      </c>
      <c r="AS3" s="13" t="s">
        <v>52</v>
      </c>
      <c r="AT3" s="13" t="s">
        <v>53</v>
      </c>
      <c r="AU3" s="13" t="s">
        <v>54</v>
      </c>
      <c r="AV3" s="13" t="s">
        <v>55</v>
      </c>
      <c r="AW3" s="13" t="s">
        <v>56</v>
      </c>
      <c r="AX3" s="13" t="s">
        <v>57</v>
      </c>
      <c r="AY3" s="13" t="s">
        <v>58</v>
      </c>
      <c r="AZ3" s="13" t="s">
        <v>59</v>
      </c>
      <c r="BA3" s="13" t="s">
        <v>60</v>
      </c>
      <c r="BB3" s="13" t="s">
        <v>61</v>
      </c>
      <c r="BC3" s="13" t="s">
        <v>62</v>
      </c>
      <c r="BD3" s="13" t="s">
        <v>63</v>
      </c>
      <c r="BE3" s="13" t="s">
        <v>64</v>
      </c>
      <c r="BF3" s="13" t="s">
        <v>65</v>
      </c>
      <c r="BG3" s="13" t="s">
        <v>66</v>
      </c>
      <c r="BH3" s="13" t="s">
        <v>67</v>
      </c>
      <c r="BI3" s="13" t="s">
        <v>68</v>
      </c>
      <c r="BJ3" s="13" t="s">
        <v>69</v>
      </c>
      <c r="BK3" s="13" t="s">
        <v>70</v>
      </c>
      <c r="BL3" s="13" t="s">
        <v>71</v>
      </c>
      <c r="BM3" s="13" t="s">
        <v>72</v>
      </c>
      <c r="BN3" s="13" t="s">
        <v>73</v>
      </c>
      <c r="BO3" s="13" t="s">
        <v>74</v>
      </c>
      <c r="BP3" s="13" t="s">
        <v>75</v>
      </c>
      <c r="BQ3" s="13" t="s">
        <v>76</v>
      </c>
      <c r="BR3" s="13" t="s">
        <v>77</v>
      </c>
      <c r="BS3" s="13" t="s">
        <v>78</v>
      </c>
      <c r="BT3" s="13" t="s">
        <v>79</v>
      </c>
      <c r="BU3" s="13" t="s">
        <v>80</v>
      </c>
      <c r="BV3" s="13" t="s">
        <v>81</v>
      </c>
      <c r="BW3" s="13" t="s">
        <v>82</v>
      </c>
      <c r="BX3" s="13" t="s">
        <v>83</v>
      </c>
      <c r="BY3" s="13" t="s">
        <v>84</v>
      </c>
      <c r="BZ3" s="13" t="s">
        <v>85</v>
      </c>
      <c r="CA3" s="13" t="s">
        <v>86</v>
      </c>
      <c r="CB3" s="13" t="s">
        <v>87</v>
      </c>
      <c r="CC3" s="13" t="s">
        <v>88</v>
      </c>
      <c r="CD3" s="13" t="s">
        <v>89</v>
      </c>
      <c r="CE3" s="13" t="s">
        <v>90</v>
      </c>
      <c r="CF3" s="13" t="s">
        <v>91</v>
      </c>
      <c r="CG3" s="13" t="s">
        <v>92</v>
      </c>
      <c r="CH3" s="13" t="s">
        <v>93</v>
      </c>
      <c r="CI3" s="13" t="s">
        <v>94</v>
      </c>
      <c r="CJ3" s="13" t="s">
        <v>95</v>
      </c>
      <c r="CK3" s="13" t="s">
        <v>96</v>
      </c>
      <c r="CL3" s="13" t="s">
        <v>97</v>
      </c>
      <c r="CM3" s="13" t="s">
        <v>98</v>
      </c>
      <c r="CN3" s="13" t="s">
        <v>99</v>
      </c>
      <c r="CO3" s="13" t="s">
        <v>100</v>
      </c>
      <c r="CP3" s="13" t="s">
        <v>101</v>
      </c>
      <c r="CQ3" s="13" t="s">
        <v>102</v>
      </c>
      <c r="CR3" s="13" t="s">
        <v>103</v>
      </c>
      <c r="CS3" s="13" t="s">
        <v>104</v>
      </c>
      <c r="CT3" s="13" t="s">
        <v>105</v>
      </c>
      <c r="CU3" s="13" t="s">
        <v>106</v>
      </c>
      <c r="CV3" s="13" t="s">
        <v>107</v>
      </c>
      <c r="CW3" s="14" t="s">
        <v>108</v>
      </c>
      <c r="CX3" s="14" t="s">
        <v>109</v>
      </c>
      <c r="CY3" s="14" t="s">
        <v>110</v>
      </c>
      <c r="CZ3" s="14" t="s">
        <v>111</v>
      </c>
      <c r="DA3" s="14" t="s">
        <v>112</v>
      </c>
      <c r="DB3" s="14" t="s">
        <v>113</v>
      </c>
      <c r="DC3" s="14" t="s">
        <v>114</v>
      </c>
      <c r="DD3" s="14" t="s">
        <v>115</v>
      </c>
      <c r="DE3" s="14" t="s">
        <v>116</v>
      </c>
      <c r="DF3" s="14" t="s">
        <v>117</v>
      </c>
      <c r="DG3" s="14" t="s">
        <v>118</v>
      </c>
      <c r="DH3" s="14" t="s">
        <v>119</v>
      </c>
      <c r="DI3" s="14" t="s">
        <v>120</v>
      </c>
      <c r="DJ3" s="14" t="s">
        <v>121</v>
      </c>
      <c r="DK3" s="14" t="s">
        <v>122</v>
      </c>
      <c r="DL3" s="14" t="s">
        <v>123</v>
      </c>
      <c r="DM3" s="14" t="s">
        <v>124</v>
      </c>
      <c r="DN3" s="14" t="s">
        <v>125</v>
      </c>
      <c r="DO3" s="14" t="s">
        <v>126</v>
      </c>
      <c r="DP3" s="14" t="s">
        <v>127</v>
      </c>
      <c r="DQ3" s="14" t="s">
        <v>131</v>
      </c>
      <c r="DR3" s="14" t="s">
        <v>132</v>
      </c>
      <c r="DS3" s="14" t="s">
        <v>133</v>
      </c>
      <c r="DT3" s="14" t="s">
        <v>134</v>
      </c>
      <c r="DU3" s="14" t="s">
        <v>135</v>
      </c>
      <c r="DV3" s="14" t="s">
        <v>136</v>
      </c>
      <c r="DW3" s="14" t="s">
        <v>137</v>
      </c>
      <c r="DX3" s="14" t="s">
        <v>138</v>
      </c>
      <c r="DY3" s="14" t="s">
        <v>139</v>
      </c>
      <c r="DZ3" s="14" t="s">
        <v>140</v>
      </c>
      <c r="EA3" s="14" t="s">
        <v>141</v>
      </c>
      <c r="EB3" s="14" t="s">
        <v>142</v>
      </c>
      <c r="EC3" s="14" t="s">
        <v>143</v>
      </c>
      <c r="ED3" s="13" t="s">
        <v>109</v>
      </c>
      <c r="EE3" s="9" t="s">
        <v>2</v>
      </c>
      <c r="EF3" s="40"/>
      <c r="EI3"/>
    </row>
    <row r="4" spans="1:137" s="17" customFormat="1" ht="45.75" customHeight="1">
      <c r="A4" s="22" t="s">
        <v>128</v>
      </c>
      <c r="B4" s="23">
        <v>0.42</v>
      </c>
      <c r="C4" s="24">
        <v>1.7</v>
      </c>
      <c r="D4" s="25">
        <v>0.26</v>
      </c>
      <c r="E4" s="24">
        <v>0.09</v>
      </c>
      <c r="F4" s="24">
        <v>0.21</v>
      </c>
      <c r="G4" s="24">
        <v>0.37</v>
      </c>
      <c r="H4" s="24">
        <v>0.73</v>
      </c>
      <c r="I4" s="24">
        <v>0.31</v>
      </c>
      <c r="J4" s="24">
        <v>0.91</v>
      </c>
      <c r="K4" s="24">
        <v>0.57</v>
      </c>
      <c r="L4" s="24">
        <v>0.79</v>
      </c>
      <c r="M4" s="24">
        <v>0.85</v>
      </c>
      <c r="N4" s="24">
        <v>0.16</v>
      </c>
      <c r="O4" s="24">
        <v>0.15</v>
      </c>
      <c r="P4" s="24">
        <v>0.21</v>
      </c>
      <c r="Q4" s="24">
        <v>0.16</v>
      </c>
      <c r="R4" s="24">
        <v>2.02</v>
      </c>
      <c r="S4" s="24">
        <v>0.05</v>
      </c>
      <c r="T4" s="24">
        <v>0.32</v>
      </c>
      <c r="U4" s="25">
        <v>0.5</v>
      </c>
      <c r="V4" s="25">
        <v>1.23</v>
      </c>
      <c r="W4" s="25">
        <v>1.02</v>
      </c>
      <c r="X4" s="25">
        <v>0.78</v>
      </c>
      <c r="Y4" s="25">
        <v>1.02</v>
      </c>
      <c r="Z4" s="25">
        <v>1.13</v>
      </c>
      <c r="AA4" s="25">
        <f>(37/3768)*100</f>
        <v>0.9819532908704883</v>
      </c>
      <c r="AB4" s="25">
        <v>1.42</v>
      </c>
      <c r="AC4" s="25">
        <v>0.32</v>
      </c>
      <c r="AD4" s="25">
        <v>0.31</v>
      </c>
      <c r="AE4" s="25">
        <v>0.2</v>
      </c>
      <c r="AF4" s="25">
        <v>1.37</v>
      </c>
      <c r="AG4" s="25">
        <f>22/3137*100</f>
        <v>0.7013069811922219</v>
      </c>
      <c r="AH4" s="25">
        <f>8/3355*100</f>
        <v>0.23845007451564829</v>
      </c>
      <c r="AI4" s="25">
        <f>12/3557*100</f>
        <v>0.33736294630306435</v>
      </c>
      <c r="AJ4" s="25">
        <f>6/3639*100</f>
        <v>0.16488046166529266</v>
      </c>
      <c r="AK4" s="26" t="s">
        <v>42</v>
      </c>
      <c r="AL4" s="25">
        <f>26/4601*100</f>
        <v>0.5650945446642034</v>
      </c>
      <c r="AM4" s="25">
        <f>8/3016*100</f>
        <v>0.2652519893899204</v>
      </c>
      <c r="AN4" s="25">
        <f>12/2987*100</f>
        <v>0.4017408771342484</v>
      </c>
      <c r="AO4" s="25">
        <f>8/3963*100</f>
        <v>0.20186727226848347</v>
      </c>
      <c r="AP4" s="25">
        <f>4/2909*100</f>
        <v>0.13750429700928155</v>
      </c>
      <c r="AQ4" s="26" t="s">
        <v>42</v>
      </c>
      <c r="AR4" s="25">
        <f>3/2408*100</f>
        <v>0.12458471760797342</v>
      </c>
      <c r="AS4" s="25">
        <f>14/2838*100</f>
        <v>0.49330514446793516</v>
      </c>
      <c r="AT4" s="25">
        <f>43/2913*100</f>
        <v>1.4761414349467903</v>
      </c>
      <c r="AU4" s="25">
        <f>6/2630*100</f>
        <v>0.22813688212927757</v>
      </c>
      <c r="AV4" s="25">
        <f>12/3067*100</f>
        <v>0.39126181936746</v>
      </c>
      <c r="AW4" s="25">
        <f>5/3013*100</f>
        <v>0.1659475605708596</v>
      </c>
      <c r="AX4" s="25">
        <f>3/2973*100</f>
        <v>0.10090817356205853</v>
      </c>
      <c r="AY4" s="25">
        <f>9/2913*100</f>
        <v>0.30895983522142123</v>
      </c>
      <c r="AZ4" s="25">
        <f>77/2860*100</f>
        <v>2.6923076923076925</v>
      </c>
      <c r="BA4" s="25">
        <f>71/3228*100</f>
        <v>2.199504337050805</v>
      </c>
      <c r="BB4" s="25">
        <f>66/3322*100</f>
        <v>1.9867549668874174</v>
      </c>
      <c r="BC4" s="25">
        <f>65/3653*100</f>
        <v>1.7793594306049825</v>
      </c>
      <c r="BD4" s="25">
        <f>166/3156*100</f>
        <v>5.259822560202789</v>
      </c>
      <c r="BE4" s="25">
        <f>182/3316*100</f>
        <v>5.48854041013269</v>
      </c>
      <c r="BF4" s="25">
        <f>134/3292*100</f>
        <v>4.070473876063184</v>
      </c>
      <c r="BG4" s="25">
        <f>174/3037*100</f>
        <v>5.72933816266052</v>
      </c>
      <c r="BH4" s="25">
        <f>62/3126*100</f>
        <v>1.983365323096609</v>
      </c>
      <c r="BI4" s="25">
        <f>53/3017*100</f>
        <v>1.756711965528671</v>
      </c>
      <c r="BJ4" s="25">
        <f>53/3157*100</f>
        <v>1.6788089958821666</v>
      </c>
      <c r="BK4" s="25">
        <f>46/2851*100</f>
        <v>1.6134689582602595</v>
      </c>
      <c r="BL4" s="25">
        <f>67/3070*100</f>
        <v>2.182410423452769</v>
      </c>
      <c r="BM4" s="25">
        <f>80/3335*100</f>
        <v>2.39880059970015</v>
      </c>
      <c r="BN4" s="25">
        <f>159/3060*100</f>
        <v>5.196078431372549</v>
      </c>
      <c r="BO4" s="25">
        <f>102/2624*100</f>
        <v>3.8871951219512195</v>
      </c>
      <c r="BP4" s="25">
        <f>270/2833*100</f>
        <v>9.53053300388281</v>
      </c>
      <c r="BQ4" s="25">
        <v>5.35</v>
      </c>
      <c r="BR4" s="25">
        <v>3.69</v>
      </c>
      <c r="BS4" s="25">
        <v>9.61</v>
      </c>
      <c r="BT4" s="25">
        <f>258/2651*100</f>
        <v>9.732176537155791</v>
      </c>
      <c r="BU4" s="25">
        <f>220/3120*100</f>
        <v>7.051282051282051</v>
      </c>
      <c r="BV4" s="25">
        <f>117/2658*100</f>
        <v>4.401805869074492</v>
      </c>
      <c r="BW4" s="25">
        <f>86/2454*100</f>
        <v>3.5044824775876124</v>
      </c>
      <c r="BX4" s="25">
        <f>39/2203*100</f>
        <v>1.7703132092601</v>
      </c>
      <c r="BY4" s="25">
        <f>131/2161*100</f>
        <v>6.062008329477094</v>
      </c>
      <c r="BZ4" s="25">
        <f>228/2382*100</f>
        <v>9.571788413098236</v>
      </c>
      <c r="CA4" s="25">
        <f>331/2195*100</f>
        <v>15.079726651480637</v>
      </c>
      <c r="CB4" s="25">
        <f>275/2807*100</f>
        <v>9.796936230851443</v>
      </c>
      <c r="CC4" s="25">
        <f>202/2494*100</f>
        <v>8.09943865276664</v>
      </c>
      <c r="CD4" s="25">
        <f>148/2719*100</f>
        <v>5.443177638837808</v>
      </c>
      <c r="CE4" s="25">
        <f>197/2294*100</f>
        <v>8.587619877942458</v>
      </c>
      <c r="CF4" s="25">
        <f>208/2115*100</f>
        <v>9.83451536643026</v>
      </c>
      <c r="CG4" s="25">
        <f>178/2144*100</f>
        <v>8.30223880597015</v>
      </c>
      <c r="CH4" s="25">
        <f>177/2408*100</f>
        <v>7.350498338870431</v>
      </c>
      <c r="CI4" s="25">
        <f>93/2331*100</f>
        <v>3.9897039897039894</v>
      </c>
      <c r="CJ4" s="25">
        <f>273/1690*100</f>
        <v>16.153846153846153</v>
      </c>
      <c r="CK4" s="25">
        <f>153/1875*100</f>
        <v>8.16</v>
      </c>
      <c r="CL4" s="25">
        <f>199/1952*100</f>
        <v>10.19467213114754</v>
      </c>
      <c r="CM4" s="25">
        <f>150/2068*100</f>
        <v>7.253384912959381</v>
      </c>
      <c r="CN4" s="25">
        <f>41/1912*100</f>
        <v>2.1443514644351467</v>
      </c>
      <c r="CO4" s="25">
        <f>318/2288*100</f>
        <v>13.898601398601398</v>
      </c>
      <c r="CP4" s="25">
        <f>172/2055*100</f>
        <v>8.369829683698297</v>
      </c>
      <c r="CQ4" s="25">
        <f>141/1962*100</f>
        <v>7.186544342507645</v>
      </c>
      <c r="CR4" s="25">
        <f>154/1838*100</f>
        <v>8.37867247007617</v>
      </c>
      <c r="CS4" s="25">
        <f>243/2675*100</f>
        <v>9.08411214953271</v>
      </c>
      <c r="CT4" s="25">
        <f>176/2191*100</f>
        <v>8.032861706983113</v>
      </c>
      <c r="CU4" s="25">
        <f>217/2211*100</f>
        <v>9.814563545906829</v>
      </c>
      <c r="CV4" s="25">
        <f>224/2710*100</f>
        <v>8.265682656826568</v>
      </c>
      <c r="CW4" s="25">
        <f>246/2434*100</f>
        <v>10.106820049301561</v>
      </c>
      <c r="CX4" s="25">
        <f>324/2939*100</f>
        <v>11.024157876828854</v>
      </c>
      <c r="CY4" s="25">
        <f>448/3036*100</f>
        <v>14.756258234519104</v>
      </c>
      <c r="CZ4" s="25">
        <f>315/2875*100</f>
        <v>10.956521739130434</v>
      </c>
      <c r="DA4" s="27">
        <f>153/2852*100</f>
        <v>5.364656381486676</v>
      </c>
      <c r="DB4" s="27">
        <f>195/3803*100</f>
        <v>5.127530896660531</v>
      </c>
      <c r="DC4" s="27">
        <f>266/3325*100</f>
        <v>8</v>
      </c>
      <c r="DD4" s="27">
        <f>121/2417*100</f>
        <v>5.0062060405461315</v>
      </c>
      <c r="DE4" s="27">
        <f>158/2714*100</f>
        <v>5.821665438467207</v>
      </c>
      <c r="DF4" s="27">
        <f>75/2691*100</f>
        <v>2.787068004459309</v>
      </c>
      <c r="DG4" s="27">
        <f>81/2384*100</f>
        <v>3.3976510067114094</v>
      </c>
      <c r="DH4" s="27">
        <f>151/3031*100</f>
        <v>4.981854173540086</v>
      </c>
      <c r="DI4" s="27">
        <f>280/3217*100</f>
        <v>8.703761268262356</v>
      </c>
      <c r="DJ4" s="27">
        <f>162/2857*100</f>
        <v>5.670283514175709</v>
      </c>
      <c r="DK4" s="27">
        <v>8.33</v>
      </c>
      <c r="DL4" s="27">
        <f>205/2195*100</f>
        <v>9.339407744874716</v>
      </c>
      <c r="DM4" s="27">
        <f>254/2148*100</f>
        <v>11.824953445065177</v>
      </c>
      <c r="DN4" s="27">
        <f>248/2501*100</f>
        <v>9.916033586565375</v>
      </c>
      <c r="DO4" s="27">
        <f>252/2287*100</f>
        <v>11.018801923917797</v>
      </c>
      <c r="DP4" s="27">
        <f>158/2287*100</f>
        <v>6.908613904678617</v>
      </c>
      <c r="DQ4" s="27">
        <f>133/2533*100</f>
        <v>5.250690880378997</v>
      </c>
      <c r="DR4" s="27">
        <f>216/2622*100</f>
        <v>8.237986270022883</v>
      </c>
      <c r="DS4" s="27">
        <f>148/2367*100</f>
        <v>6.252640473172792</v>
      </c>
      <c r="DT4" s="27">
        <f>222/2984*100</f>
        <v>7.439678284182305</v>
      </c>
      <c r="DU4" s="27">
        <f>187/2549*100</f>
        <v>7.336210278540604</v>
      </c>
      <c r="DV4" s="27">
        <f>133/2683*100</f>
        <v>4.957137532612746</v>
      </c>
      <c r="DW4" s="27">
        <f>106/3004*100</f>
        <v>3.5286284953395475</v>
      </c>
      <c r="DX4" s="27">
        <f>129/2915*100</f>
        <v>4.4253859348198965</v>
      </c>
      <c r="DY4" s="27">
        <f>454/3269*100</f>
        <v>13.888039155705108</v>
      </c>
      <c r="DZ4" s="27">
        <f>88/3071*100</f>
        <v>2.865516118528167</v>
      </c>
      <c r="EA4" s="27">
        <v>2.9458346531517265</v>
      </c>
      <c r="EB4" s="27">
        <v>3.3642293168554755</v>
      </c>
      <c r="EC4" s="27">
        <v>1.7431519032372822</v>
      </c>
      <c r="ED4" s="25"/>
      <c r="EE4" s="31">
        <f>EC4-EB4</f>
        <v>-1.6210774136181934</v>
      </c>
      <c r="EF4" s="16"/>
      <c r="EG4" s="15"/>
    </row>
    <row r="5" spans="1:137" s="17" customFormat="1" ht="40.5" customHeight="1">
      <c r="A5" s="22" t="s">
        <v>129</v>
      </c>
      <c r="B5" s="23">
        <v>8.6</v>
      </c>
      <c r="C5" s="25">
        <v>2.13</v>
      </c>
      <c r="D5" s="29">
        <v>0</v>
      </c>
      <c r="E5" s="29">
        <v>0</v>
      </c>
      <c r="F5" s="24">
        <v>3.13</v>
      </c>
      <c r="G5" s="25">
        <v>12.7</v>
      </c>
      <c r="H5" s="25">
        <v>4.76</v>
      </c>
      <c r="I5" s="25">
        <v>8.33</v>
      </c>
      <c r="J5" s="25">
        <v>1.67</v>
      </c>
      <c r="K5" s="25">
        <v>3.92</v>
      </c>
      <c r="L5" s="29">
        <v>0</v>
      </c>
      <c r="M5" s="30">
        <v>18.18</v>
      </c>
      <c r="N5" s="29">
        <v>0</v>
      </c>
      <c r="O5" s="29">
        <v>0</v>
      </c>
      <c r="P5" s="23">
        <v>1.05</v>
      </c>
      <c r="Q5" s="23">
        <v>9.68</v>
      </c>
      <c r="R5" s="23">
        <v>1.8</v>
      </c>
      <c r="S5" s="23">
        <v>25</v>
      </c>
      <c r="T5" s="23">
        <v>10.53</v>
      </c>
      <c r="U5" s="23">
        <v>9.62</v>
      </c>
      <c r="V5" s="23">
        <v>1.59</v>
      </c>
      <c r="W5" s="23" t="s">
        <v>42</v>
      </c>
      <c r="X5" s="23" t="s">
        <v>42</v>
      </c>
      <c r="Y5" s="23">
        <v>8.1</v>
      </c>
      <c r="Z5" s="23" t="s">
        <v>42</v>
      </c>
      <c r="AA5" s="23" t="s">
        <v>42</v>
      </c>
      <c r="AB5" s="23">
        <f>3/24*100</f>
        <v>12.5</v>
      </c>
      <c r="AC5" s="23">
        <v>1.72</v>
      </c>
      <c r="AD5" s="23">
        <v>0.55</v>
      </c>
      <c r="AE5" s="28">
        <f>1/49*100</f>
        <v>2.0408163265306123</v>
      </c>
      <c r="AF5" s="23" t="s">
        <v>42</v>
      </c>
      <c r="AG5" s="24"/>
      <c r="AH5" s="25">
        <f>1/165*100</f>
        <v>0.6060606060606061</v>
      </c>
      <c r="AI5" s="28" t="s">
        <v>41</v>
      </c>
      <c r="AJ5" s="25">
        <f>1/56*100</f>
        <v>1.7857142857142856</v>
      </c>
      <c r="AK5" s="26" t="s">
        <v>42</v>
      </c>
      <c r="AL5" s="26" t="s">
        <v>42</v>
      </c>
      <c r="AM5" s="26" t="s">
        <v>42</v>
      </c>
      <c r="AN5" s="26" t="s">
        <v>42</v>
      </c>
      <c r="AO5" s="26" t="s">
        <v>42</v>
      </c>
      <c r="AP5" s="26" t="s">
        <v>42</v>
      </c>
      <c r="AQ5" s="25">
        <f>5/891*100</f>
        <v>0.5611672278338945</v>
      </c>
      <c r="AR5" s="26" t="s">
        <v>42</v>
      </c>
      <c r="AS5" s="26" t="s">
        <v>42</v>
      </c>
      <c r="AT5" s="26" t="s">
        <v>42</v>
      </c>
      <c r="AU5" s="25">
        <f>9/466*100</f>
        <v>1.9313304721030045</v>
      </c>
      <c r="AV5" s="25">
        <f>3/335*100</f>
        <v>0.8955223880597015</v>
      </c>
      <c r="AW5" s="25">
        <f>5/466*100</f>
        <v>1.0729613733905579</v>
      </c>
      <c r="AX5" s="25">
        <f>3/368*100</f>
        <v>0.8152173913043478</v>
      </c>
      <c r="AY5" s="26" t="s">
        <v>42</v>
      </c>
      <c r="AZ5" s="25">
        <f>1/452*100</f>
        <v>0.22123893805309736</v>
      </c>
      <c r="BA5" s="26" t="s">
        <v>42</v>
      </c>
      <c r="BB5" s="26" t="s">
        <v>42</v>
      </c>
      <c r="BC5" s="26" t="s">
        <v>42</v>
      </c>
      <c r="BD5" s="26" t="s">
        <v>42</v>
      </c>
      <c r="BE5" s="26" t="s">
        <v>42</v>
      </c>
      <c r="BF5" s="25">
        <f>1/485*100</f>
        <v>0.2061855670103093</v>
      </c>
      <c r="BG5" s="26" t="s">
        <v>42</v>
      </c>
      <c r="BH5" s="25">
        <f>1/479*100</f>
        <v>0.20876826722338201</v>
      </c>
      <c r="BI5" s="26" t="s">
        <v>42</v>
      </c>
      <c r="BJ5" s="26" t="s">
        <v>42</v>
      </c>
      <c r="BK5" s="26" t="s">
        <v>42</v>
      </c>
      <c r="BL5" s="26" t="s">
        <v>42</v>
      </c>
      <c r="BM5" s="26" t="s">
        <v>42</v>
      </c>
      <c r="BN5" s="26" t="s">
        <v>42</v>
      </c>
      <c r="BO5" s="25">
        <f>5/431*100</f>
        <v>1.160092807424594</v>
      </c>
      <c r="BP5" s="26" t="s">
        <v>42</v>
      </c>
      <c r="BQ5" s="26" t="s">
        <v>42</v>
      </c>
      <c r="BR5" s="26" t="s">
        <v>42</v>
      </c>
      <c r="BS5" s="26" t="s">
        <v>42</v>
      </c>
      <c r="BT5" s="25">
        <f>1/565*100</f>
        <v>0.17699115044247787</v>
      </c>
      <c r="BU5" s="26" t="s">
        <v>42</v>
      </c>
      <c r="BV5" s="26" t="s">
        <v>42</v>
      </c>
      <c r="BW5" s="26" t="s">
        <v>42</v>
      </c>
      <c r="BX5" s="25">
        <f>1/454*100</f>
        <v>0.22026431718061676</v>
      </c>
      <c r="BY5" s="26" t="s">
        <v>42</v>
      </c>
      <c r="BZ5" s="26" t="s">
        <v>42</v>
      </c>
      <c r="CA5" s="26" t="s">
        <v>42</v>
      </c>
      <c r="CB5" s="26" t="s">
        <v>42</v>
      </c>
      <c r="CC5" s="26" t="s">
        <v>42</v>
      </c>
      <c r="CD5" s="26" t="s">
        <v>42</v>
      </c>
      <c r="CE5" s="25">
        <f>2/578*100</f>
        <v>0.34602076124567477</v>
      </c>
      <c r="CF5" s="26" t="s">
        <v>42</v>
      </c>
      <c r="CG5" s="26" t="s">
        <v>42</v>
      </c>
      <c r="CH5" s="26" t="s">
        <v>42</v>
      </c>
      <c r="CI5" s="25">
        <f>1/378*100</f>
        <v>0.26455026455026454</v>
      </c>
      <c r="CJ5" s="25">
        <f>2/399*100</f>
        <v>0.5012531328320802</v>
      </c>
      <c r="CK5" s="29">
        <f>0/403*100</f>
        <v>0</v>
      </c>
      <c r="CL5" s="25">
        <f>1/418*100</f>
        <v>0.23923444976076555</v>
      </c>
      <c r="CM5" s="25">
        <f>1/378*100</f>
        <v>0.26455026455026454</v>
      </c>
      <c r="CN5" s="29">
        <f>0/411*100</f>
        <v>0</v>
      </c>
      <c r="CO5" s="31">
        <f>55/496*100</f>
        <v>11.088709677419354</v>
      </c>
      <c r="CP5" s="31">
        <f>28/507*100</f>
        <v>5.522682445759369</v>
      </c>
      <c r="CQ5" s="31">
        <f>2/533*100</f>
        <v>0.37523452157598497</v>
      </c>
      <c r="CR5" s="32">
        <f>0/514*100</f>
        <v>0</v>
      </c>
      <c r="CS5" s="31">
        <f>4/418*100</f>
        <v>0.9569377990430622</v>
      </c>
      <c r="CT5" s="33">
        <f>0/33*100</f>
        <v>0</v>
      </c>
      <c r="CU5" s="31">
        <f>2/432*100</f>
        <v>0.4629629629629629</v>
      </c>
      <c r="CV5" s="31">
        <f>2/441*100</f>
        <v>0.45351473922902497</v>
      </c>
      <c r="CW5" s="29">
        <f>0/41*100</f>
        <v>0</v>
      </c>
      <c r="CX5" s="31">
        <f>2/(362+79)*100</f>
        <v>0.45351473922902497</v>
      </c>
      <c r="CY5" s="31">
        <f>1/(13+211)*100</f>
        <v>0.4464285714285714</v>
      </c>
      <c r="CZ5" s="31">
        <f>1/(15+17)*100</f>
        <v>3.125</v>
      </c>
      <c r="DA5" s="34">
        <f>0/(15+17)*100</f>
        <v>0</v>
      </c>
      <c r="DB5" s="34">
        <f>0/(24+67)*100</f>
        <v>0</v>
      </c>
      <c r="DC5" s="31">
        <f>5/(43+126)*100</f>
        <v>2.9585798816568047</v>
      </c>
      <c r="DD5" s="31">
        <f>2/(38+22)*100</f>
        <v>3.3333333333333335</v>
      </c>
      <c r="DE5" s="31">
        <f>2/(46+72)*100</f>
        <v>1.694915254237288</v>
      </c>
      <c r="DF5" s="34">
        <f>0/(25+39)*100</f>
        <v>0</v>
      </c>
      <c r="DG5" s="27">
        <f>1/(29+24)</f>
        <v>0.018867924528301886</v>
      </c>
      <c r="DH5" s="34">
        <f>0/(23+26)</f>
        <v>0</v>
      </c>
      <c r="DI5" s="27">
        <f>1/(11+25)</f>
        <v>0.027777777777777776</v>
      </c>
      <c r="DJ5" s="27">
        <f>1/(17+25)</f>
        <v>0.023809523809523808</v>
      </c>
      <c r="DK5" s="27">
        <v>0.05</v>
      </c>
      <c r="DL5" s="27">
        <f>1/37*100</f>
        <v>2.7027027027027026</v>
      </c>
      <c r="DM5" s="27">
        <f>5/53*100</f>
        <v>9.433962264150944</v>
      </c>
      <c r="DN5" s="27">
        <f>6/(46+88)*100</f>
        <v>4.477611940298507</v>
      </c>
      <c r="DO5" s="27">
        <f>1/(34+39)*100</f>
        <v>1.36986301369863</v>
      </c>
      <c r="DP5" s="34">
        <f>0/(30+42)*100</f>
        <v>0</v>
      </c>
      <c r="DQ5" s="27">
        <f>1/(16+1)*100</f>
        <v>5.88235294117647</v>
      </c>
      <c r="DR5" s="27">
        <f>1/(48+69)*100</f>
        <v>0.8547008547008548</v>
      </c>
      <c r="DS5" s="34">
        <f>0/(39+10)*100</f>
        <v>0</v>
      </c>
      <c r="DT5" s="27">
        <f>3/(47+112)*100</f>
        <v>1.8867924528301887</v>
      </c>
      <c r="DU5" s="27">
        <f>2/(49+22)*100</f>
        <v>2.8169014084507045</v>
      </c>
      <c r="DV5" s="27">
        <f>3/(61+23)*100</f>
        <v>3.571428571428571</v>
      </c>
      <c r="DW5" s="27">
        <f>1/(21+22)*100</f>
        <v>2.3255813953488373</v>
      </c>
      <c r="DX5" s="27">
        <f>1/(14+27)*100</f>
        <v>2.4390243902439024</v>
      </c>
      <c r="DY5" s="27">
        <f>3/(18+33)*100</f>
        <v>5.88235294117647</v>
      </c>
      <c r="DZ5" s="27">
        <f>3/(27+48)*100</f>
        <v>4</v>
      </c>
      <c r="EA5" s="27">
        <v>1.8181818181818181</v>
      </c>
      <c r="EB5" s="27">
        <v>1.1299435028248588</v>
      </c>
      <c r="EC5" s="27">
        <v>0.390625</v>
      </c>
      <c r="ED5" s="25"/>
      <c r="EE5" s="31">
        <f>EC5-EB5</f>
        <v>-0.7393185028248588</v>
      </c>
      <c r="EF5" s="18"/>
      <c r="EG5" s="19"/>
    </row>
    <row r="6" spans="1:136" s="17" customFormat="1" ht="37.5" customHeight="1">
      <c r="A6" s="22" t="s">
        <v>130</v>
      </c>
      <c r="B6" s="29">
        <v>0</v>
      </c>
      <c r="C6" s="29">
        <v>0</v>
      </c>
      <c r="D6" s="25">
        <v>2.86</v>
      </c>
      <c r="E6" s="25">
        <v>20.34</v>
      </c>
      <c r="F6" s="25">
        <v>20</v>
      </c>
      <c r="G6" s="25">
        <v>20.83</v>
      </c>
      <c r="H6" s="25">
        <v>27.27</v>
      </c>
      <c r="I6" s="25">
        <v>30</v>
      </c>
      <c r="J6" s="25">
        <v>25.92</v>
      </c>
      <c r="K6" s="25">
        <v>31.82</v>
      </c>
      <c r="L6" s="25">
        <v>20.86</v>
      </c>
      <c r="M6" s="25">
        <v>38.33</v>
      </c>
      <c r="N6" s="25">
        <v>36.68</v>
      </c>
      <c r="O6" s="25">
        <v>24.23</v>
      </c>
      <c r="P6" s="25">
        <v>25</v>
      </c>
      <c r="Q6" s="25">
        <v>39.57</v>
      </c>
      <c r="R6" s="25">
        <v>24.05</v>
      </c>
      <c r="S6" s="25">
        <v>25.74</v>
      </c>
      <c r="T6" s="25">
        <v>16.03</v>
      </c>
      <c r="U6" s="25">
        <v>22.47</v>
      </c>
      <c r="V6" s="25">
        <v>22.88</v>
      </c>
      <c r="W6" s="25">
        <v>38.28</v>
      </c>
      <c r="X6" s="25">
        <v>39.86</v>
      </c>
      <c r="Y6" s="25">
        <v>34.87</v>
      </c>
      <c r="Z6" s="25">
        <v>30.28</v>
      </c>
      <c r="AA6" s="25">
        <f>(36/108)*100</f>
        <v>33.33333333333333</v>
      </c>
      <c r="AB6" s="25">
        <f>(33/76)*100</f>
        <v>43.42105263157895</v>
      </c>
      <c r="AC6" s="25">
        <f>(28/145)*100</f>
        <v>19.310344827586206</v>
      </c>
      <c r="AD6" s="25">
        <f>(55/263)*100</f>
        <v>20.912547528517113</v>
      </c>
      <c r="AE6" s="25">
        <v>10.49</v>
      </c>
      <c r="AF6" s="25">
        <f>(25/295)*100</f>
        <v>8.47457627118644</v>
      </c>
      <c r="AG6" s="25">
        <f>41/256*100</f>
        <v>16.015625</v>
      </c>
      <c r="AH6" s="25">
        <f>42/252*100</f>
        <v>16.666666666666664</v>
      </c>
      <c r="AI6" s="25">
        <f>28/264*100</f>
        <v>10.606060606060606</v>
      </c>
      <c r="AJ6" s="25">
        <f>39/198*100</f>
        <v>19.696969696969695</v>
      </c>
      <c r="AK6" s="25">
        <f>31/141*100</f>
        <v>21.98581560283688</v>
      </c>
      <c r="AL6" s="25">
        <f>29/184*100</f>
        <v>15.760869565217392</v>
      </c>
      <c r="AM6" s="25">
        <f>15/132*100</f>
        <v>11.363636363636363</v>
      </c>
      <c r="AN6" s="25">
        <f>19/200*100</f>
        <v>9.5</v>
      </c>
      <c r="AO6" s="25">
        <f>19/191*100</f>
        <v>9.947643979057592</v>
      </c>
      <c r="AP6" s="25">
        <f>14/216*100</f>
        <v>6.481481481481481</v>
      </c>
      <c r="AQ6" s="25">
        <f>11/212*100</f>
        <v>5.188679245283019</v>
      </c>
      <c r="AR6" s="25">
        <f>43/248*100</f>
        <v>17.338709677419356</v>
      </c>
      <c r="AS6" s="25">
        <f>39/229*100</f>
        <v>17.03056768558952</v>
      </c>
      <c r="AT6" s="25">
        <f>23/188*100</f>
        <v>12.23404255319149</v>
      </c>
      <c r="AU6" s="25">
        <f>22/272*100</f>
        <v>8.088235294117647</v>
      </c>
      <c r="AV6" s="25">
        <f>29/137*100</f>
        <v>21.16788321167883</v>
      </c>
      <c r="AW6" s="25">
        <f>14/126*100</f>
        <v>11.11111111111111</v>
      </c>
      <c r="AX6" s="25">
        <f>14/150*100</f>
        <v>9.333333333333334</v>
      </c>
      <c r="AY6" s="25">
        <f>16/147*100</f>
        <v>10.884353741496598</v>
      </c>
      <c r="AZ6" s="25">
        <f>27/157*100</f>
        <v>17.197452229299362</v>
      </c>
      <c r="BA6" s="25">
        <f>16/162*100</f>
        <v>9.876543209876543</v>
      </c>
      <c r="BB6" s="25">
        <f>26/198*100</f>
        <v>13.131313131313133</v>
      </c>
      <c r="BC6" s="25">
        <f>38/174*100</f>
        <v>21.839080459770116</v>
      </c>
      <c r="BD6" s="25">
        <f>38/249*100</f>
        <v>15.261044176706829</v>
      </c>
      <c r="BE6" s="25">
        <f>31/239*100</f>
        <v>12.97071129707113</v>
      </c>
      <c r="BF6" s="25">
        <f>20/214*100</f>
        <v>9.345794392523365</v>
      </c>
      <c r="BG6" s="25">
        <f>37/260*100</f>
        <v>14.23076923076923</v>
      </c>
      <c r="BH6" s="25">
        <f>38/193*100</f>
        <v>19.689119170984455</v>
      </c>
      <c r="BI6" s="25">
        <f>21/124*100</f>
        <v>16.93548387096774</v>
      </c>
      <c r="BJ6" s="25">
        <f>43/209*100</f>
        <v>20.574162679425836</v>
      </c>
      <c r="BK6" s="25">
        <f>20/159*100</f>
        <v>12.578616352201259</v>
      </c>
      <c r="BL6" s="25">
        <f>40/238*100</f>
        <v>16.80672268907563</v>
      </c>
      <c r="BM6" s="25">
        <f>31/167*100</f>
        <v>18.562874251497004</v>
      </c>
      <c r="BN6" s="25">
        <f>26/180*100</f>
        <v>14.444444444444443</v>
      </c>
      <c r="BO6" s="25">
        <f>24/197*100</f>
        <v>12.18274111675127</v>
      </c>
      <c r="BP6" s="25">
        <f>43/336*100</f>
        <v>12.797619047619047</v>
      </c>
      <c r="BQ6" s="25">
        <v>9.96</v>
      </c>
      <c r="BR6" s="25">
        <v>11.46</v>
      </c>
      <c r="BS6" s="25">
        <v>8.11</v>
      </c>
      <c r="BT6" s="25">
        <f>11/129*100</f>
        <v>8.527131782945736</v>
      </c>
      <c r="BU6" s="25">
        <f>25/120*100</f>
        <v>20.833333333333336</v>
      </c>
      <c r="BV6" s="25">
        <f>53/247*100</f>
        <v>21.45748987854251</v>
      </c>
      <c r="BW6" s="25">
        <f>29/186*100</f>
        <v>15.591397849462366</v>
      </c>
      <c r="BX6" s="25">
        <f>17/146*100</f>
        <v>11.643835616438356</v>
      </c>
      <c r="BY6" s="25">
        <f>36/201*100</f>
        <v>17.91044776119403</v>
      </c>
      <c r="BZ6" s="25">
        <f>19/184*100</f>
        <v>10.326086956521738</v>
      </c>
      <c r="CA6" s="25">
        <f>27/205*100</f>
        <v>13.170731707317074</v>
      </c>
      <c r="CB6" s="25">
        <f>50/310*100</f>
        <v>16.129032258064516</v>
      </c>
      <c r="CC6" s="25">
        <f>42/294*100</f>
        <v>14.285714285714285</v>
      </c>
      <c r="CD6" s="25">
        <f>31/264*100</f>
        <v>11.742424242424242</v>
      </c>
      <c r="CE6" s="25">
        <f>22/216*100</f>
        <v>10.185185185185185</v>
      </c>
      <c r="CF6" s="25">
        <f>25/174*100</f>
        <v>14.367816091954023</v>
      </c>
      <c r="CG6" s="25">
        <f>36/159*100</f>
        <v>22.641509433962266</v>
      </c>
      <c r="CH6" s="25">
        <f>45/204*100</f>
        <v>22.058823529411764</v>
      </c>
      <c r="CI6" s="25">
        <f>29/124*100</f>
        <v>23.387096774193548</v>
      </c>
      <c r="CJ6" s="25">
        <f>33/154*100</f>
        <v>21.428571428571427</v>
      </c>
      <c r="CK6" s="25">
        <f>30/151*100</f>
        <v>19.867549668874172</v>
      </c>
      <c r="CL6" s="25">
        <f>34/199*100</f>
        <v>17.08542713567839</v>
      </c>
      <c r="CM6" s="25">
        <f>48/162*100</f>
        <v>29.629629629629626</v>
      </c>
      <c r="CN6" s="25">
        <f>39/204*100</f>
        <v>19.11764705882353</v>
      </c>
      <c r="CO6" s="25">
        <f>40/179*100</f>
        <v>22.3463687150838</v>
      </c>
      <c r="CP6" s="25">
        <f>57/156*100</f>
        <v>36.53846153846153</v>
      </c>
      <c r="CQ6" s="25">
        <f>44/208*100</f>
        <v>21.153846153846153</v>
      </c>
      <c r="CR6" s="25">
        <f>51/143*100</f>
        <v>35.66433566433567</v>
      </c>
      <c r="CS6" s="25">
        <f>37/116*100</f>
        <v>31.896551724137932</v>
      </c>
      <c r="CT6" s="25">
        <f>38/141*100</f>
        <v>26.95035460992908</v>
      </c>
      <c r="CU6" s="25">
        <f>36/112*100</f>
        <v>32.142857142857146</v>
      </c>
      <c r="CV6" s="25">
        <f>48/125*100</f>
        <v>38.4</v>
      </c>
      <c r="CW6" s="25">
        <f>62/158*100</f>
        <v>39.24050632911392</v>
      </c>
      <c r="CX6" s="25">
        <f>68/185*100</f>
        <v>36.75675675675676</v>
      </c>
      <c r="CY6" s="25">
        <f>48/186*100</f>
        <v>25.806451612903224</v>
      </c>
      <c r="CZ6" s="25">
        <f>61/160*100</f>
        <v>38.125</v>
      </c>
      <c r="DA6" s="27">
        <f>59/175*100</f>
        <v>33.714285714285715</v>
      </c>
      <c r="DB6" s="27">
        <f>31/147*100</f>
        <v>21.08843537414966</v>
      </c>
      <c r="DC6" s="27">
        <f>51/180*100</f>
        <v>28.333333333333332</v>
      </c>
      <c r="DD6" s="27">
        <f>48/145*100</f>
        <v>33.10344827586207</v>
      </c>
      <c r="DE6" s="27">
        <f>37/135*100</f>
        <v>27.40740740740741</v>
      </c>
      <c r="DF6" s="27">
        <f>13/86*100</f>
        <v>15.11627906976744</v>
      </c>
      <c r="DG6" s="27">
        <f>41/142*100</f>
        <v>28.87323943661972</v>
      </c>
      <c r="DH6" s="27">
        <f>50/149*100</f>
        <v>33.557046979865774</v>
      </c>
      <c r="DI6" s="27">
        <f>41/165*100</f>
        <v>24.848484848484848</v>
      </c>
      <c r="DJ6" s="27">
        <f>32/127*100</f>
        <v>25.196850393700785</v>
      </c>
      <c r="DK6" s="27">
        <v>35.25</v>
      </c>
      <c r="DL6" s="27">
        <f>55/158*100</f>
        <v>34.810126582278485</v>
      </c>
      <c r="DM6" s="27">
        <f>36/127*100</f>
        <v>28.346456692913385</v>
      </c>
      <c r="DN6" s="27">
        <f>27/135*100</f>
        <v>20</v>
      </c>
      <c r="DO6" s="27">
        <f>42/153*100</f>
        <v>27.450980392156865</v>
      </c>
      <c r="DP6" s="27">
        <f>41/120*100</f>
        <v>34.166666666666664</v>
      </c>
      <c r="DQ6" s="27">
        <f>69/154*100</f>
        <v>44.8051948051948</v>
      </c>
      <c r="DR6" s="27">
        <f>61/160*100</f>
        <v>38.125</v>
      </c>
      <c r="DS6" s="27">
        <f>41/106*100</f>
        <v>38.67924528301887</v>
      </c>
      <c r="DT6" s="27">
        <f>32/132*100</f>
        <v>24.242424242424242</v>
      </c>
      <c r="DU6" s="27">
        <f>25/112*100</f>
        <v>22.321428571428573</v>
      </c>
      <c r="DV6" s="27">
        <f>55/150*100</f>
        <v>36.666666666666664</v>
      </c>
      <c r="DW6" s="27">
        <f>27/129*100</f>
        <v>20.930232558139537</v>
      </c>
      <c r="DX6" s="27">
        <f>46/149*100</f>
        <v>30.87248322147651</v>
      </c>
      <c r="DY6" s="27">
        <f>29/138*100</f>
        <v>21.014492753623188</v>
      </c>
      <c r="DZ6" s="27">
        <f>36/132*100</f>
        <v>27.27272727272727</v>
      </c>
      <c r="EA6" s="27">
        <v>29.761904761904763</v>
      </c>
      <c r="EB6" s="27">
        <v>40.76923076923077</v>
      </c>
      <c r="EC6" s="27">
        <v>41.75824175824176</v>
      </c>
      <c r="ED6" s="25"/>
      <c r="EE6" s="31">
        <f>EC6-EB6</f>
        <v>0.9890109890109926</v>
      </c>
      <c r="EF6" s="20"/>
    </row>
    <row r="7" spans="1:136" s="17" customFormat="1" ht="43.5" customHeight="1">
      <c r="A7" s="22" t="s">
        <v>4</v>
      </c>
      <c r="B7" s="35">
        <v>2214</v>
      </c>
      <c r="C7" s="36">
        <v>2228</v>
      </c>
      <c r="D7" s="36">
        <v>2233</v>
      </c>
      <c r="E7" s="36">
        <v>2212</v>
      </c>
      <c r="F7" s="36">
        <v>2228</v>
      </c>
      <c r="G7" s="37">
        <v>2222</v>
      </c>
      <c r="H7" s="37">
        <v>2245</v>
      </c>
      <c r="I7" s="37">
        <v>2251</v>
      </c>
      <c r="J7" s="37">
        <v>2332</v>
      </c>
      <c r="K7" s="37">
        <v>2295</v>
      </c>
      <c r="L7" s="37">
        <v>2223</v>
      </c>
      <c r="M7" s="37">
        <v>2360</v>
      </c>
      <c r="N7" s="37">
        <v>2358</v>
      </c>
      <c r="O7" s="37">
        <v>2394</v>
      </c>
      <c r="P7" s="37">
        <v>2396</v>
      </c>
      <c r="Q7" s="37">
        <v>2457</v>
      </c>
      <c r="R7" s="37">
        <v>2488</v>
      </c>
      <c r="S7" s="37">
        <v>2496</v>
      </c>
      <c r="T7" s="37">
        <v>2502</v>
      </c>
      <c r="U7" s="37">
        <v>2500</v>
      </c>
      <c r="V7" s="37">
        <v>2520</v>
      </c>
      <c r="W7" s="37">
        <v>2522</v>
      </c>
      <c r="X7" s="37">
        <v>2529</v>
      </c>
      <c r="Y7" s="37">
        <v>2557</v>
      </c>
      <c r="Z7" s="37">
        <v>2557</v>
      </c>
      <c r="AA7" s="37">
        <v>2498</v>
      </c>
      <c r="AB7" s="37">
        <v>2505</v>
      </c>
      <c r="AC7" s="37">
        <v>2505</v>
      </c>
      <c r="AD7" s="37">
        <v>2543</v>
      </c>
      <c r="AE7" s="37">
        <v>2604</v>
      </c>
      <c r="AF7" s="37">
        <v>2688</v>
      </c>
      <c r="AG7" s="37">
        <v>2817</v>
      </c>
      <c r="AH7" s="37">
        <v>2846</v>
      </c>
      <c r="AI7" s="37">
        <v>2895</v>
      </c>
      <c r="AJ7" s="37">
        <v>2925</v>
      </c>
      <c r="AK7" s="37">
        <v>2923</v>
      </c>
      <c r="AL7" s="37">
        <v>2946</v>
      </c>
      <c r="AM7" s="37">
        <v>2966</v>
      </c>
      <c r="AN7" s="37">
        <v>2994</v>
      </c>
      <c r="AO7" s="37">
        <v>3015</v>
      </c>
      <c r="AP7" s="37">
        <v>3041</v>
      </c>
      <c r="AQ7" s="37">
        <v>3052</v>
      </c>
      <c r="AR7" s="37">
        <v>3067</v>
      </c>
      <c r="AS7" s="37">
        <v>3087</v>
      </c>
      <c r="AT7" s="37">
        <v>3086</v>
      </c>
      <c r="AU7" s="37">
        <v>3100</v>
      </c>
      <c r="AV7" s="37">
        <v>3141</v>
      </c>
      <c r="AW7" s="37">
        <v>3149</v>
      </c>
      <c r="AX7" s="37">
        <v>3158</v>
      </c>
      <c r="AY7" s="37">
        <v>3133</v>
      </c>
      <c r="AZ7" s="37">
        <v>3136</v>
      </c>
      <c r="BA7" s="37">
        <v>3148</v>
      </c>
      <c r="BB7" s="37">
        <v>3164</v>
      </c>
      <c r="BC7" s="37">
        <v>3175</v>
      </c>
      <c r="BD7" s="37">
        <v>3174</v>
      </c>
      <c r="BE7" s="37">
        <v>3193</v>
      </c>
      <c r="BF7" s="37">
        <v>3205</v>
      </c>
      <c r="BG7" s="37">
        <v>3231</v>
      </c>
      <c r="BH7" s="37">
        <v>3222</v>
      </c>
      <c r="BI7" s="37">
        <v>3134</v>
      </c>
      <c r="BJ7" s="37">
        <v>3156</v>
      </c>
      <c r="BK7" s="37">
        <v>3158</v>
      </c>
      <c r="BL7" s="37">
        <v>3192</v>
      </c>
      <c r="BM7" s="37">
        <v>3212</v>
      </c>
      <c r="BN7" s="37">
        <v>3227</v>
      </c>
      <c r="BO7" s="37">
        <v>3269</v>
      </c>
      <c r="BP7" s="37">
        <v>3301</v>
      </c>
      <c r="BQ7" s="37">
        <v>3336</v>
      </c>
      <c r="BR7" s="37">
        <v>3370</v>
      </c>
      <c r="BS7" s="37">
        <v>3397</v>
      </c>
      <c r="BT7" s="37">
        <v>3409</v>
      </c>
      <c r="BU7" s="37">
        <v>3445</v>
      </c>
      <c r="BV7" s="37">
        <v>3465</v>
      </c>
      <c r="BW7" s="37">
        <v>3485</v>
      </c>
      <c r="BX7" s="37">
        <v>3501</v>
      </c>
      <c r="BY7" s="37">
        <v>3513</v>
      </c>
      <c r="BZ7" s="37">
        <v>3532</v>
      </c>
      <c r="CA7" s="37">
        <v>3552</v>
      </c>
      <c r="CB7" s="37">
        <v>3579</v>
      </c>
      <c r="CC7" s="37">
        <v>3624</v>
      </c>
      <c r="CD7" s="38">
        <v>3644</v>
      </c>
      <c r="CE7" s="38">
        <v>3656</v>
      </c>
      <c r="CF7" s="38">
        <v>3661</v>
      </c>
      <c r="CG7" s="38">
        <v>3671</v>
      </c>
      <c r="CH7" s="38">
        <v>3688</v>
      </c>
      <c r="CI7" s="38">
        <v>3694</v>
      </c>
      <c r="CJ7" s="38">
        <v>3706</v>
      </c>
      <c r="CK7" s="38">
        <v>3668</v>
      </c>
      <c r="CL7" s="38">
        <v>3735</v>
      </c>
      <c r="CM7" s="38">
        <v>3787</v>
      </c>
      <c r="CN7" s="38">
        <v>3827</v>
      </c>
      <c r="CO7" s="38">
        <v>3859</v>
      </c>
      <c r="CP7" s="38">
        <v>3867</v>
      </c>
      <c r="CQ7" s="38">
        <v>3896</v>
      </c>
      <c r="CR7" s="38">
        <v>3897</v>
      </c>
      <c r="CS7" s="38">
        <v>3928</v>
      </c>
      <c r="CT7" s="38">
        <v>3931</v>
      </c>
      <c r="CU7" s="38">
        <v>3960</v>
      </c>
      <c r="CV7" s="38">
        <v>3980</v>
      </c>
      <c r="CW7" s="38">
        <v>3996</v>
      </c>
      <c r="CX7" s="38">
        <v>4010</v>
      </c>
      <c r="CY7" s="38">
        <v>4028</v>
      </c>
      <c r="CZ7" s="38">
        <v>4007</v>
      </c>
      <c r="DA7" s="38">
        <v>4061</v>
      </c>
      <c r="DB7" s="38">
        <v>4073</v>
      </c>
      <c r="DC7" s="38">
        <v>4075</v>
      </c>
      <c r="DD7" s="38">
        <v>4096</v>
      </c>
      <c r="DE7" s="38">
        <v>4096</v>
      </c>
      <c r="DF7" s="38">
        <v>4101</v>
      </c>
      <c r="DG7" s="38">
        <v>4109</v>
      </c>
      <c r="DH7" s="38">
        <v>4121</v>
      </c>
      <c r="DI7" s="38">
        <v>4129</v>
      </c>
      <c r="DJ7" s="38">
        <v>4136</v>
      </c>
      <c r="DK7" s="38">
        <v>4144</v>
      </c>
      <c r="DL7" s="38">
        <v>4150</v>
      </c>
      <c r="DM7" s="38">
        <v>4170</v>
      </c>
      <c r="DN7" s="38">
        <v>4204</v>
      </c>
      <c r="DO7" s="38">
        <v>4213</v>
      </c>
      <c r="DP7" s="38">
        <v>4223</v>
      </c>
      <c r="DQ7" s="38">
        <v>4247</v>
      </c>
      <c r="DR7" s="38">
        <v>4246</v>
      </c>
      <c r="DS7" s="38">
        <v>4269</v>
      </c>
      <c r="DT7" s="38">
        <v>4269</v>
      </c>
      <c r="DU7" s="38">
        <v>4297</v>
      </c>
      <c r="DV7" s="38">
        <v>4309</v>
      </c>
      <c r="DW7" s="38">
        <v>4329</v>
      </c>
      <c r="DX7" s="38">
        <v>4348</v>
      </c>
      <c r="DY7" s="38">
        <v>4369</v>
      </c>
      <c r="DZ7" s="38">
        <v>4384</v>
      </c>
      <c r="EA7" s="38">
        <v>4407</v>
      </c>
      <c r="EB7" s="38">
        <v>4434</v>
      </c>
      <c r="EC7" s="38">
        <v>4458</v>
      </c>
      <c r="ED7" s="38">
        <v>3749</v>
      </c>
      <c r="EE7" s="31">
        <f>(EC7/EB7-1)*100</f>
        <v>0.5412719891745521</v>
      </c>
      <c r="EF7" s="21"/>
    </row>
    <row r="8" spans="1:139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I8"/>
    </row>
    <row r="9" spans="1:13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I9" s="2"/>
    </row>
    <row r="10" spans="1:139" ht="16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ED10" s="2"/>
      <c r="EE10" s="2"/>
      <c r="EF10" s="2"/>
      <c r="EG10" s="2"/>
      <c r="EH10" s="2"/>
      <c r="EI10" s="2"/>
    </row>
    <row r="11" spans="136:139" ht="25.5" customHeight="1">
      <c r="EF11" s="5"/>
      <c r="EG11" s="5"/>
      <c r="EH11" s="5"/>
      <c r="EI11"/>
    </row>
    <row r="12" spans="138:139" ht="15.75">
      <c r="EH12" s="3"/>
      <c r="EI12"/>
    </row>
    <row r="13" spans="138:139" ht="15.75">
      <c r="EH13" s="3"/>
      <c r="EI13"/>
    </row>
    <row r="14" spans="138:139" ht="15.75">
      <c r="EH14" s="3"/>
      <c r="EI14"/>
    </row>
  </sheetData>
  <sheetProtection/>
  <mergeCells count="2">
    <mergeCell ref="A2:A3"/>
    <mergeCell ref="EF2:EF3"/>
  </mergeCells>
  <printOptions horizontalCentered="1"/>
  <pageMargins left="0.5905511811023623" right="0" top="0.7874015748031497" bottom="0.3937007874015748" header="0.35433070866141736" footer="0"/>
  <pageSetup horizontalDpi="180" verticalDpi="180" orientation="landscape" paperSize="9" scale="50" r:id="rId1"/>
  <headerFooter alignWithMargins="0">
    <oddHeader>&amp;R&amp;"華康隸書體W5,標準"衛生醫療</oddHeader>
    <oddFooter>&amp;C&amp;"華康隸書體W5,標準"第 4 頁</oddFooter>
  </headerFooter>
  <ignoredErrors>
    <ignoredError sqref="CJ4 CJ5 CK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重要施政指標</dc:title>
  <dc:subject/>
  <dc:creator>ACCOUNTANT</dc:creator>
  <cp:keywords/>
  <dc:description/>
  <cp:lastModifiedBy>tccggod</cp:lastModifiedBy>
  <cp:lastPrinted>2001-08-06T08:35:26Z</cp:lastPrinted>
  <dcterms:created xsi:type="dcterms:W3CDTF">1998-07-09T00:19:46Z</dcterms:created>
  <dcterms:modified xsi:type="dcterms:W3CDTF">2011-10-19T07:06:02Z</dcterms:modified>
  <cp:category/>
  <cp:version/>
  <cp:contentType/>
  <cp:contentStatus/>
</cp:coreProperties>
</file>