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65431" windowWidth="9720" windowHeight="6495" tabRatio="599" activeTab="0"/>
  </bookViews>
  <sheets>
    <sheet name="台中市機動車輛" sheetId="1" r:id="rId1"/>
  </sheets>
  <definedNames>
    <definedName name="HTML_CodePage" hidden="1">950</definedName>
    <definedName name="HTML_Control" hidden="1">{"'A12'!$A$2:$F$52","'A12'!$A$1:$F$52"}</definedName>
    <definedName name="HTML_Description" hidden="1">""</definedName>
    <definedName name="HTML_Email" hidden="1">""</definedName>
    <definedName name="HTML_Header" hidden="1">"A12"</definedName>
    <definedName name="HTML_LastUpdate" hidden="1">"1999/6/16"</definedName>
    <definedName name="HTML_LineAfter" hidden="1">FALSE</definedName>
    <definedName name="HTML_LineBefore" hidden="1">FALSE</definedName>
    <definedName name="HTML_Name" hidden="1">"主計室"</definedName>
    <definedName name="HTML_OBDlg2" hidden="1">TRUE</definedName>
    <definedName name="HTML_OBDlg4" hidden="1">TRUE</definedName>
    <definedName name="HTML_OS" hidden="1">0</definedName>
    <definedName name="HTML_PathFile" hidden="1">"C:\joy\Mya12.htm"</definedName>
    <definedName name="HTML_Title" hidden="1">"A統計資料"</definedName>
  </definedNames>
  <calcPr fullCalcOnLoad="1"/>
</workbook>
</file>

<file path=xl/sharedStrings.xml><?xml version="1.0" encoding="utf-8"?>
<sst xmlns="http://schemas.openxmlformats.org/spreadsheetml/2006/main" count="204" uniqueCount="162">
  <si>
    <t>A、本市重要統計指標</t>
  </si>
  <si>
    <t>79年</t>
  </si>
  <si>
    <t>80年</t>
  </si>
  <si>
    <t>81年</t>
  </si>
  <si>
    <t>82年</t>
  </si>
  <si>
    <t>83年</t>
  </si>
  <si>
    <t>84年</t>
  </si>
  <si>
    <t>85年</t>
  </si>
  <si>
    <t>86年</t>
  </si>
  <si>
    <t>06、台  中  市  機  動  車  輛</t>
  </si>
  <si>
    <t>汽車</t>
  </si>
  <si>
    <t>機車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</si>
  <si>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</si>
  <si>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</t>
    </r>
    <r>
      <rPr>
        <sz val="12"/>
        <rFont val="新細明體"/>
        <family val="1"/>
      </rPr>
      <t>3月</t>
    </r>
  </si>
  <si>
    <r>
      <t xml:space="preserve">       </t>
    </r>
    <r>
      <rPr>
        <sz val="12"/>
        <rFont val="新細明體"/>
        <family val="1"/>
      </rPr>
      <t>4月</t>
    </r>
  </si>
  <si>
    <r>
      <t xml:space="preserve">       </t>
    </r>
    <r>
      <rPr>
        <sz val="12"/>
        <rFont val="新細明體"/>
        <family val="1"/>
      </rPr>
      <t>5月</t>
    </r>
  </si>
  <si>
    <r>
      <t xml:space="preserve">       </t>
    </r>
    <r>
      <rPr>
        <sz val="12"/>
        <rFont val="新細明體"/>
        <family val="1"/>
      </rPr>
      <t>6月</t>
    </r>
  </si>
  <si>
    <r>
      <t xml:space="preserve">       </t>
    </r>
    <r>
      <rPr>
        <sz val="12"/>
        <rFont val="新細明體"/>
        <family val="1"/>
      </rPr>
      <t>7月</t>
    </r>
  </si>
  <si>
    <r>
      <t xml:space="preserve">       </t>
    </r>
    <r>
      <rPr>
        <sz val="12"/>
        <rFont val="新細明體"/>
        <family val="1"/>
      </rPr>
      <t>8月</t>
    </r>
  </si>
  <si>
    <r>
      <t xml:space="preserve">       </t>
    </r>
    <r>
      <rPr>
        <sz val="12"/>
        <rFont val="新細明體"/>
        <family val="1"/>
      </rPr>
      <t>9月</t>
    </r>
  </si>
  <si>
    <r>
      <t xml:space="preserve">       </t>
    </r>
    <r>
      <rPr>
        <sz val="12"/>
        <rFont val="新細明體"/>
        <family val="1"/>
      </rPr>
      <t>2月</t>
    </r>
  </si>
  <si>
    <r>
      <t xml:space="preserve">     </t>
    </r>
    <r>
      <rPr>
        <sz val="12"/>
        <rFont val="新細明體"/>
        <family val="1"/>
      </rPr>
      <t>10月</t>
    </r>
  </si>
  <si>
    <r>
      <t xml:space="preserve">     </t>
    </r>
    <r>
      <rPr>
        <sz val="12"/>
        <rFont val="新細明體"/>
        <family val="1"/>
      </rPr>
      <t>11月</t>
    </r>
  </si>
  <si>
    <r>
      <t xml:space="preserve">     </t>
    </r>
    <r>
      <rPr>
        <sz val="12"/>
        <rFont val="新細明體"/>
        <family val="1"/>
      </rPr>
      <t>12月</t>
    </r>
  </si>
  <si>
    <t>每千人持有車輛數</t>
  </si>
  <si>
    <t>每戶擁有車輛數</t>
  </si>
  <si>
    <r>
      <t xml:space="preserve">                      </t>
    </r>
    <r>
      <rPr>
        <sz val="10"/>
        <rFont val="新細明體"/>
        <family val="1"/>
      </rPr>
      <t>利用楔形插補法計算而得，故總計項與細項合計或未能相吻。</t>
    </r>
  </si>
  <si>
    <t>87年</t>
  </si>
  <si>
    <r>
      <t xml:space="preserve">     3</t>
    </r>
    <r>
      <rPr>
        <sz val="12"/>
        <rFont val="新細明體"/>
        <family val="1"/>
      </rPr>
      <t>月</t>
    </r>
  </si>
  <si>
    <r>
      <t xml:space="preserve">       5</t>
    </r>
    <r>
      <rPr>
        <sz val="12"/>
        <rFont val="新細明體"/>
        <family val="1"/>
      </rPr>
      <t>月</t>
    </r>
  </si>
  <si>
    <r>
      <t xml:space="preserve">       6</t>
    </r>
    <r>
      <rPr>
        <sz val="12"/>
        <rFont val="新細明體"/>
        <family val="1"/>
      </rPr>
      <t>月</t>
    </r>
  </si>
  <si>
    <r>
      <t xml:space="preserve">       7</t>
    </r>
    <r>
      <rPr>
        <sz val="12"/>
        <rFont val="新細明體"/>
        <family val="1"/>
      </rPr>
      <t>月</t>
    </r>
  </si>
  <si>
    <r>
      <t xml:space="preserve">       </t>
    </r>
    <r>
      <rPr>
        <sz val="12"/>
        <rFont val="新細明體"/>
        <family val="1"/>
      </rPr>
      <t>10月</t>
    </r>
  </si>
  <si>
    <t>88年</t>
  </si>
  <si>
    <r>
      <t xml:space="preserve">       </t>
    </r>
    <r>
      <rPr>
        <sz val="12"/>
        <rFont val="新細明體"/>
        <family val="1"/>
      </rPr>
      <t>1月</t>
    </r>
  </si>
  <si>
    <r>
      <t xml:space="preserve">       2</t>
    </r>
    <r>
      <rPr>
        <sz val="12"/>
        <rFont val="新細明體"/>
        <family val="1"/>
      </rPr>
      <t>月</t>
    </r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</si>
  <si>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</si>
  <si>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r>
      <t>汽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車</t>
    </r>
  </si>
  <si>
    <r>
      <t>機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車</t>
    </r>
  </si>
  <si>
    <r>
      <t xml:space="preserve">       3</t>
    </r>
    <r>
      <rPr>
        <sz val="12"/>
        <rFont val="新細明體"/>
        <family val="1"/>
      </rPr>
      <t>月</t>
    </r>
  </si>
  <si>
    <r>
      <t xml:space="preserve">       4</t>
    </r>
    <r>
      <rPr>
        <sz val="12"/>
        <rFont val="新細明體"/>
        <family val="1"/>
      </rPr>
      <t>月</t>
    </r>
  </si>
  <si>
    <t>資料來源：台中區監理所、 站</t>
  </si>
  <si>
    <r>
      <t>備</t>
    </r>
    <r>
      <rPr>
        <sz val="10"/>
        <rFont val="Times New Roman"/>
        <family val="1"/>
      </rPr>
      <t xml:space="preserve">         </t>
    </r>
    <r>
      <rPr>
        <sz val="10"/>
        <rFont val="新細明體"/>
        <family val="1"/>
      </rPr>
      <t>註：</t>
    </r>
    <r>
      <rPr>
        <sz val="10"/>
        <rFont val="Times New Roman"/>
        <family val="1"/>
      </rPr>
      <t>78</t>
    </r>
    <r>
      <rPr>
        <sz val="10"/>
        <rFont val="新細明體"/>
        <family val="1"/>
      </rPr>
      <t>年至</t>
    </r>
    <r>
      <rPr>
        <sz val="10"/>
        <rFont val="Times New Roman"/>
        <family val="1"/>
      </rPr>
      <t>83</t>
    </r>
    <r>
      <rPr>
        <sz val="10"/>
        <rFont val="新細明體"/>
        <family val="1"/>
      </rPr>
      <t>年車輛登記數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校正數</t>
    </r>
    <r>
      <rPr>
        <sz val="10"/>
        <rFont val="Times New Roman"/>
        <family val="1"/>
      </rPr>
      <t xml:space="preserve"> ) </t>
    </r>
    <r>
      <rPr>
        <sz val="10"/>
        <rFont val="新細明體"/>
        <family val="1"/>
      </rPr>
      <t>係依據</t>
    </r>
    <r>
      <rPr>
        <sz val="10"/>
        <rFont val="Times New Roman"/>
        <family val="1"/>
      </rPr>
      <t>84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月換發牌照結束後各縣市機動車輛登記數之減少數，</t>
    </r>
  </si>
  <si>
    <r>
      <t xml:space="preserve">       5</t>
    </r>
    <r>
      <rPr>
        <sz val="12"/>
        <rFont val="新細明體"/>
        <family val="1"/>
      </rPr>
      <t>月</t>
    </r>
  </si>
  <si>
    <t>78年</t>
  </si>
  <si>
    <r>
      <t>當月較上年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同月增減%</t>
    </r>
  </si>
  <si>
    <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</si>
  <si>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 xml:space="preserve">       8</t>
    </r>
    <r>
      <rPr>
        <sz val="12"/>
        <rFont val="新細明體"/>
        <family val="1"/>
      </rPr>
      <t>月</t>
    </r>
  </si>
  <si>
    <r>
      <t xml:space="preserve">       9</t>
    </r>
    <r>
      <rPr>
        <sz val="12"/>
        <rFont val="新細明體"/>
        <family val="1"/>
      </rPr>
      <t>月</t>
    </r>
  </si>
  <si>
    <r>
      <t xml:space="preserve">       10</t>
    </r>
    <r>
      <rPr>
        <sz val="12"/>
        <rFont val="細明體"/>
        <family val="3"/>
      </rPr>
      <t>月</t>
    </r>
  </si>
  <si>
    <r>
      <t xml:space="preserve">       11</t>
    </r>
    <r>
      <rPr>
        <sz val="12"/>
        <rFont val="細明體"/>
        <family val="3"/>
      </rPr>
      <t>月</t>
    </r>
  </si>
  <si>
    <r>
      <t xml:space="preserve">       12</t>
    </r>
    <r>
      <rPr>
        <sz val="12"/>
        <rFont val="細明體"/>
        <family val="3"/>
      </rPr>
      <t>月</t>
    </r>
  </si>
  <si>
    <r>
      <t>89</t>
    </r>
    <r>
      <rPr>
        <sz val="12"/>
        <rFont val="細明體"/>
        <family val="3"/>
      </rPr>
      <t>年</t>
    </r>
  </si>
  <si>
    <r>
      <t xml:space="preserve">     2</t>
    </r>
    <r>
      <rPr>
        <sz val="12"/>
        <rFont val="新細明體"/>
        <family val="1"/>
      </rPr>
      <t>月</t>
    </r>
  </si>
  <si>
    <r>
      <t xml:space="preserve">     4</t>
    </r>
    <r>
      <rPr>
        <sz val="12"/>
        <rFont val="新細明體"/>
        <family val="1"/>
      </rPr>
      <t>月</t>
    </r>
  </si>
  <si>
    <r>
      <t xml:space="preserve">     </t>
    </r>
    <r>
      <rPr>
        <sz val="12"/>
        <rFont val="新細明體"/>
        <family val="1"/>
      </rPr>
      <t>5月</t>
    </r>
  </si>
  <si>
    <r>
      <t xml:space="preserve">     6</t>
    </r>
    <r>
      <rPr>
        <sz val="12"/>
        <rFont val="細明體"/>
        <family val="3"/>
      </rPr>
      <t>月</t>
    </r>
  </si>
  <si>
    <r>
      <t xml:space="preserve">    7</t>
    </r>
    <r>
      <rPr>
        <sz val="12"/>
        <rFont val="新細明體"/>
        <family val="1"/>
      </rPr>
      <t>月</t>
    </r>
  </si>
  <si>
    <r>
      <t xml:space="preserve">    8</t>
    </r>
    <r>
      <rPr>
        <sz val="12"/>
        <rFont val="新細明體"/>
        <family val="1"/>
      </rPr>
      <t>月</t>
    </r>
  </si>
  <si>
    <r>
      <t xml:space="preserve">    9</t>
    </r>
    <r>
      <rPr>
        <sz val="12"/>
        <rFont val="新細明體"/>
        <family val="1"/>
      </rPr>
      <t>月</t>
    </r>
  </si>
  <si>
    <r>
      <t xml:space="preserve">   10</t>
    </r>
    <r>
      <rPr>
        <sz val="12"/>
        <rFont val="新細明體"/>
        <family val="1"/>
      </rPr>
      <t>月</t>
    </r>
  </si>
  <si>
    <r>
      <t xml:space="preserve">   11</t>
    </r>
    <r>
      <rPr>
        <sz val="12"/>
        <rFont val="新細明體"/>
        <family val="1"/>
      </rPr>
      <t>月</t>
    </r>
  </si>
  <si>
    <r>
      <t xml:space="preserve">   12</t>
    </r>
    <r>
      <rPr>
        <sz val="12"/>
        <rFont val="新細明體"/>
        <family val="1"/>
      </rPr>
      <t>月</t>
    </r>
  </si>
  <si>
    <r>
      <t xml:space="preserve">       6</t>
    </r>
    <r>
      <rPr>
        <sz val="12"/>
        <rFont val="新細明體"/>
        <family val="1"/>
      </rPr>
      <t>月</t>
    </r>
  </si>
  <si>
    <r>
      <t xml:space="preserve">       7</t>
    </r>
    <r>
      <rPr>
        <sz val="12"/>
        <rFont val="新細明體"/>
        <family val="1"/>
      </rPr>
      <t>月</t>
    </r>
  </si>
  <si>
    <r>
      <t xml:space="preserve">       8</t>
    </r>
    <r>
      <rPr>
        <sz val="12"/>
        <rFont val="細明體"/>
        <family val="3"/>
      </rPr>
      <t>月</t>
    </r>
  </si>
  <si>
    <r>
      <t xml:space="preserve">       9</t>
    </r>
    <r>
      <rPr>
        <sz val="12"/>
        <rFont val="細明體"/>
        <family val="3"/>
      </rPr>
      <t>月</t>
    </r>
  </si>
  <si>
    <r>
      <t xml:space="preserve">       10</t>
    </r>
    <r>
      <rPr>
        <sz val="12"/>
        <rFont val="細明體"/>
        <family val="3"/>
      </rPr>
      <t>月</t>
    </r>
  </si>
  <si>
    <r>
      <t xml:space="preserve">       11</t>
    </r>
    <r>
      <rPr>
        <sz val="12"/>
        <rFont val="細明體"/>
        <family val="3"/>
      </rPr>
      <t>月</t>
    </r>
  </si>
  <si>
    <r>
      <t xml:space="preserve">       12</t>
    </r>
    <r>
      <rPr>
        <sz val="12"/>
        <rFont val="細明體"/>
        <family val="3"/>
      </rPr>
      <t>月</t>
    </r>
  </si>
  <si>
    <r>
      <t xml:space="preserve">       2</t>
    </r>
    <r>
      <rPr>
        <sz val="12"/>
        <rFont val="新細明體"/>
        <family val="1"/>
      </rPr>
      <t>月</t>
    </r>
  </si>
  <si>
    <r>
      <t xml:space="preserve">       3</t>
    </r>
    <r>
      <rPr>
        <sz val="12"/>
        <rFont val="新細明體"/>
        <family val="1"/>
      </rPr>
      <t>月</t>
    </r>
  </si>
  <si>
    <r>
      <t xml:space="preserve">       4</t>
    </r>
    <r>
      <rPr>
        <sz val="12"/>
        <rFont val="新細明體"/>
        <family val="1"/>
      </rPr>
      <t>月</t>
    </r>
  </si>
  <si>
    <r>
      <t xml:space="preserve">      5</t>
    </r>
    <r>
      <rPr>
        <sz val="12"/>
        <rFont val="新細明體"/>
        <family val="1"/>
      </rPr>
      <t>月</t>
    </r>
  </si>
  <si>
    <r>
      <t xml:space="preserve">      6</t>
    </r>
    <r>
      <rPr>
        <sz val="12"/>
        <rFont val="新細明體"/>
        <family val="1"/>
      </rPr>
      <t>月</t>
    </r>
  </si>
  <si>
    <r>
      <t xml:space="preserve">      7</t>
    </r>
    <r>
      <rPr>
        <sz val="12"/>
        <rFont val="新細明體"/>
        <family val="1"/>
      </rPr>
      <t>月</t>
    </r>
  </si>
  <si>
    <r>
      <t xml:space="preserve">     8</t>
    </r>
    <r>
      <rPr>
        <sz val="12"/>
        <rFont val="新細明體"/>
        <family val="1"/>
      </rPr>
      <t>月</t>
    </r>
  </si>
  <si>
    <r>
      <t xml:space="preserve">     9</t>
    </r>
    <r>
      <rPr>
        <sz val="12"/>
        <rFont val="新細明體"/>
        <family val="1"/>
      </rPr>
      <t>月</t>
    </r>
  </si>
  <si>
    <r>
      <t xml:space="preserve">    10</t>
    </r>
    <r>
      <rPr>
        <sz val="12"/>
        <rFont val="新細明體"/>
        <family val="1"/>
      </rPr>
      <t>月</t>
    </r>
  </si>
  <si>
    <r>
      <t xml:space="preserve">    11</t>
    </r>
    <r>
      <rPr>
        <sz val="12"/>
        <rFont val="新細明體"/>
        <family val="1"/>
      </rPr>
      <t>月</t>
    </r>
  </si>
  <si>
    <r>
      <t xml:space="preserve">    12</t>
    </r>
    <r>
      <rPr>
        <sz val="12"/>
        <rFont val="新細明體"/>
        <family val="1"/>
      </rPr>
      <t>月</t>
    </r>
  </si>
  <si>
    <r>
      <t xml:space="preserve">       5</t>
    </r>
    <r>
      <rPr>
        <sz val="12"/>
        <rFont val="新細明體"/>
        <family val="1"/>
      </rPr>
      <t>月</t>
    </r>
  </si>
  <si>
    <r>
      <t xml:space="preserve">       7</t>
    </r>
    <r>
      <rPr>
        <sz val="12"/>
        <rFont val="新細明體"/>
        <family val="1"/>
      </rPr>
      <t>月</t>
    </r>
  </si>
  <si>
    <r>
      <t xml:space="preserve">       8</t>
    </r>
    <r>
      <rPr>
        <sz val="12"/>
        <rFont val="新細明體"/>
        <family val="1"/>
      </rPr>
      <t>月</t>
    </r>
  </si>
  <si>
    <r>
      <t xml:space="preserve">       9</t>
    </r>
    <r>
      <rPr>
        <sz val="12"/>
        <rFont val="新細明體"/>
        <family val="1"/>
      </rPr>
      <t>月</t>
    </r>
  </si>
  <si>
    <r>
      <t xml:space="preserve">       10</t>
    </r>
    <r>
      <rPr>
        <sz val="12"/>
        <rFont val="新細明體"/>
        <family val="1"/>
      </rPr>
      <t>月</t>
    </r>
  </si>
  <si>
    <r>
      <t xml:space="preserve">       11</t>
    </r>
    <r>
      <rPr>
        <sz val="12"/>
        <rFont val="新細明體"/>
        <family val="1"/>
      </rPr>
      <t>月</t>
    </r>
  </si>
  <si>
    <r>
      <t xml:space="preserve">       12</t>
    </r>
    <r>
      <rPr>
        <sz val="12"/>
        <rFont val="新細明體"/>
        <family val="1"/>
      </rPr>
      <t>月</t>
    </r>
  </si>
  <si>
    <r>
      <t xml:space="preserve">       1</t>
    </r>
    <r>
      <rPr>
        <sz val="12"/>
        <rFont val="新細明體"/>
        <family val="1"/>
      </rPr>
      <t>月</t>
    </r>
  </si>
  <si>
    <r>
      <t xml:space="preserve">      3</t>
    </r>
    <r>
      <rPr>
        <sz val="12"/>
        <rFont val="新細明體"/>
        <family val="1"/>
      </rPr>
      <t>月</t>
    </r>
  </si>
  <si>
    <r>
      <t xml:space="preserve">      4</t>
    </r>
    <r>
      <rPr>
        <sz val="12"/>
        <rFont val="新細明體"/>
        <family val="1"/>
      </rPr>
      <t>月</t>
    </r>
  </si>
  <si>
    <r>
      <t xml:space="preserve">     7</t>
    </r>
    <r>
      <rPr>
        <sz val="12"/>
        <rFont val="新細明體"/>
        <family val="1"/>
      </rPr>
      <t>月</t>
    </r>
  </si>
  <si>
    <r>
      <t>當月較上月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增減%</t>
    </r>
  </si>
  <si>
    <r>
      <t xml:space="preserve">    1</t>
    </r>
    <r>
      <rPr>
        <sz val="12"/>
        <rFont val="新細明體"/>
        <family val="1"/>
      </rPr>
      <t>月</t>
    </r>
  </si>
  <si>
    <r>
      <t>2</t>
    </r>
    <r>
      <rPr>
        <sz val="12"/>
        <rFont val="細明體"/>
        <family val="3"/>
      </rPr>
      <t>月</t>
    </r>
  </si>
  <si>
    <r>
      <t>3</t>
    </r>
    <r>
      <rPr>
        <sz val="12"/>
        <rFont val="細明體"/>
        <family val="3"/>
      </rPr>
      <t>月</t>
    </r>
  </si>
  <si>
    <r>
      <t>4</t>
    </r>
    <r>
      <rPr>
        <sz val="12"/>
        <rFont val="細明體"/>
        <family val="3"/>
      </rPr>
      <t>月</t>
    </r>
  </si>
  <si>
    <r>
      <t>5</t>
    </r>
    <r>
      <rPr>
        <sz val="12"/>
        <rFont val="細明體"/>
        <family val="3"/>
      </rPr>
      <t>月</t>
    </r>
  </si>
  <si>
    <r>
      <t>6月</t>
    </r>
  </si>
  <si>
    <r>
      <t>7月</t>
    </r>
  </si>
  <si>
    <r>
      <t>8月</t>
    </r>
  </si>
  <si>
    <r>
      <t>9月</t>
    </r>
  </si>
  <si>
    <r>
      <t>10</t>
    </r>
    <r>
      <rPr>
        <sz val="12"/>
        <rFont val="細明體"/>
        <family val="3"/>
      </rPr>
      <t>月</t>
    </r>
  </si>
  <si>
    <r>
      <t>11月</t>
    </r>
  </si>
  <si>
    <r>
      <t>12月</t>
    </r>
  </si>
  <si>
    <t xml:space="preserve">    2月</t>
  </si>
  <si>
    <t xml:space="preserve">    3月</t>
  </si>
  <si>
    <t xml:space="preserve">    4月</t>
  </si>
  <si>
    <r>
      <t>94</t>
    </r>
    <r>
      <rPr>
        <sz val="12"/>
        <rFont val="細明體"/>
        <family val="3"/>
      </rPr>
      <t>年底</t>
    </r>
  </si>
  <si>
    <r>
      <t>90</t>
    </r>
    <r>
      <rPr>
        <sz val="12"/>
        <rFont val="細明體"/>
        <family val="3"/>
      </rPr>
      <t>年底</t>
    </r>
  </si>
  <si>
    <r>
      <t>91</t>
    </r>
    <r>
      <rPr>
        <sz val="12"/>
        <rFont val="細明體"/>
        <family val="3"/>
      </rPr>
      <t>年底</t>
    </r>
  </si>
  <si>
    <r>
      <t>92</t>
    </r>
    <r>
      <rPr>
        <sz val="12"/>
        <rFont val="細明體"/>
        <family val="3"/>
      </rPr>
      <t>年底</t>
    </r>
  </si>
  <si>
    <r>
      <t>93</t>
    </r>
    <r>
      <rPr>
        <sz val="12"/>
        <rFont val="細明體"/>
        <family val="3"/>
      </rPr>
      <t>年底</t>
    </r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</si>
  <si>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</si>
  <si>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</si>
  <si>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</si>
  <si>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</si>
  <si>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</si>
  <si>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</si>
  <si>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</si>
  <si>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</si>
  <si>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r>
      <t>95</t>
    </r>
    <r>
      <rPr>
        <sz val="12"/>
        <rFont val="細明體"/>
        <family val="3"/>
      </rPr>
      <t>年底</t>
    </r>
  </si>
  <si>
    <r>
      <t>96</t>
    </r>
    <r>
      <rPr>
        <sz val="12"/>
        <rFont val="細明體"/>
        <family val="3"/>
      </rPr>
      <t>年底</t>
    </r>
  </si>
  <si>
    <r>
      <t>12</t>
    </r>
    <r>
      <rPr>
        <sz val="12"/>
        <rFont val="細明體"/>
        <family val="3"/>
      </rPr>
      <t>月底</t>
    </r>
  </si>
  <si>
    <r>
      <t xml:space="preserve">    1</t>
    </r>
    <r>
      <rPr>
        <sz val="12"/>
        <rFont val="新細明體"/>
        <family val="1"/>
      </rPr>
      <t>月底</t>
    </r>
  </si>
  <si>
    <r>
      <t xml:space="preserve">    2月底</t>
    </r>
  </si>
  <si>
    <r>
      <t xml:space="preserve">    3月底</t>
    </r>
  </si>
  <si>
    <r>
      <t xml:space="preserve">    4月底</t>
    </r>
  </si>
  <si>
    <r>
      <t xml:space="preserve">    5月底</t>
    </r>
  </si>
  <si>
    <r>
      <t xml:space="preserve">    6月底</t>
    </r>
  </si>
  <si>
    <r>
      <t xml:space="preserve">    7月底</t>
    </r>
  </si>
  <si>
    <r>
      <t xml:space="preserve">    8月底</t>
    </r>
  </si>
  <si>
    <r>
      <t xml:space="preserve">    9月底</t>
    </r>
  </si>
  <si>
    <r>
      <t xml:space="preserve">    10月底</t>
    </r>
  </si>
  <si>
    <r>
      <t xml:space="preserve">    11月底</t>
    </r>
  </si>
  <si>
    <r>
      <t xml:space="preserve">    12月底</t>
    </r>
  </si>
  <si>
    <r>
      <t>1</t>
    </r>
    <r>
      <rPr>
        <sz val="12"/>
        <rFont val="細明體"/>
        <family val="3"/>
      </rPr>
      <t>月底</t>
    </r>
  </si>
  <si>
    <r>
      <t>2</t>
    </r>
    <r>
      <rPr>
        <sz val="12"/>
        <rFont val="細明體"/>
        <family val="3"/>
      </rPr>
      <t>月底</t>
    </r>
  </si>
  <si>
    <r>
      <t>3</t>
    </r>
    <r>
      <rPr>
        <sz val="12"/>
        <rFont val="細明體"/>
        <family val="3"/>
      </rPr>
      <t>月底</t>
    </r>
  </si>
  <si>
    <r>
      <t>4月底</t>
    </r>
  </si>
  <si>
    <r>
      <t>5</t>
    </r>
    <r>
      <rPr>
        <sz val="12"/>
        <rFont val="細明體"/>
        <family val="3"/>
      </rPr>
      <t>月底</t>
    </r>
  </si>
  <si>
    <r>
      <t>6月底</t>
    </r>
  </si>
  <si>
    <r>
      <t>7月底</t>
    </r>
  </si>
  <si>
    <r>
      <t>8月底</t>
    </r>
  </si>
  <si>
    <r>
      <t>9月底</t>
    </r>
  </si>
  <si>
    <r>
      <t>10月底</t>
    </r>
  </si>
  <si>
    <r>
      <t>11月底</t>
    </r>
  </si>
  <si>
    <r>
      <t>12月底</t>
    </r>
  </si>
  <si>
    <r>
      <t>98</t>
    </r>
    <r>
      <rPr>
        <b/>
        <sz val="12"/>
        <rFont val="細明體"/>
        <family val="3"/>
      </rPr>
      <t>年底</t>
    </r>
  </si>
  <si>
    <r>
      <t>97</t>
    </r>
    <r>
      <rPr>
        <b/>
        <sz val="12"/>
        <rFont val="細明體"/>
        <family val="3"/>
      </rPr>
      <t>年底</t>
    </r>
  </si>
  <si>
    <t>2月底</t>
  </si>
  <si>
    <t>3月底</t>
  </si>
  <si>
    <t>4月底</t>
  </si>
  <si>
    <t>5月底</t>
  </si>
  <si>
    <t>6月底</t>
  </si>
  <si>
    <t>7月底</t>
  </si>
  <si>
    <t>8月底</t>
  </si>
  <si>
    <t>9月底</t>
  </si>
  <si>
    <t>10月底</t>
  </si>
  <si>
    <t>11月底</t>
  </si>
  <si>
    <t>12月底</t>
  </si>
  <si>
    <r>
      <t>99</t>
    </r>
    <r>
      <rPr>
        <b/>
        <sz val="12"/>
        <rFont val="細明體"/>
        <family val="3"/>
      </rPr>
      <t>年底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</si>
</sst>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_-* #,##0.0_-;\-* #,##0.0_-;_-* &quot;-&quot;??_-;_-@_-"/>
    <numFmt numFmtId="183" formatCode="_-* #,##0_-;\-* #,##0_-;_-* &quot;-&quot;??_-;_-@_-"/>
    <numFmt numFmtId="184" formatCode="0.0"/>
    <numFmt numFmtId="185" formatCode="_-* #,##0.000_-;\-* #,##0.000_-;_-* &quot;-&quot;??_-;_-@_-"/>
    <numFmt numFmtId="186" formatCode="_-* #,##0.0000_-;\-* #,##0.0000_-;_-* &quot;-&quot;??_-;_-@_-"/>
    <numFmt numFmtId="187" formatCode="0.00_);[Red]\(0.00\)"/>
    <numFmt numFmtId="188" formatCode="0.00_ "/>
    <numFmt numFmtId="189" formatCode="#,##0_ "/>
    <numFmt numFmtId="190" formatCode="#,##0.0000_ "/>
    <numFmt numFmtId="191" formatCode="_-* #,##0.0000_-;\-* #,##0.0000_-;_-* &quot;-&quot;????_-;_-@_-"/>
    <numFmt numFmtId="192" formatCode="#,##0.00_ "/>
    <numFmt numFmtId="193" formatCode="#,##0.00_);[Red]\(#,##0.00\)"/>
    <numFmt numFmtId="194" formatCode="#,##0.0_);[Red]\(#,##0.0\)"/>
    <numFmt numFmtId="195" formatCode="#,##0_);[Red]\(#,##0\)"/>
    <numFmt numFmtId="196" formatCode="0.0_ "/>
    <numFmt numFmtId="197" formatCode="0_ "/>
    <numFmt numFmtId="198" formatCode="#,##0.0_ "/>
    <numFmt numFmtId="199" formatCode="0_ ;[Red]\-0\ "/>
    <numFmt numFmtId="200" formatCode="#,##0.0"/>
    <numFmt numFmtId="201" formatCode="#,##0.00;\-#,##0.00;\-"/>
    <numFmt numFmtId="202" formatCode="#,##0.00;\-#,##0.00;\ \ \-"/>
    <numFmt numFmtId="203" formatCode="#,##0.000"/>
    <numFmt numFmtId="204" formatCode="#,##0.0000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???_-;_-@_-"/>
  </numFmts>
  <fonts count="1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43" fontId="0" fillId="0" borderId="0" xfId="0" applyNumberFormat="1" applyAlignment="1">
      <alignment/>
    </xf>
    <xf numFmtId="190" fontId="0" fillId="0" borderId="0" xfId="0" applyNumberFormat="1" applyAlignment="1">
      <alignment/>
    </xf>
    <xf numFmtId="183" fontId="1" fillId="0" borderId="8" xfId="15" applyNumberFormat="1" applyFont="1" applyBorder="1" applyAlignment="1">
      <alignment/>
    </xf>
    <xf numFmtId="183" fontId="0" fillId="0" borderId="5" xfId="15" applyNumberFormat="1" applyBorder="1" applyAlignment="1">
      <alignment/>
    </xf>
    <xf numFmtId="0" fontId="8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189" fontId="0" fillId="0" borderId="5" xfId="15" applyNumberFormat="1" applyBorder="1" applyAlignment="1">
      <alignment/>
    </xf>
    <xf numFmtId="186" fontId="0" fillId="0" borderId="5" xfId="15" applyNumberFormat="1" applyBorder="1" applyAlignment="1">
      <alignment/>
    </xf>
    <xf numFmtId="186" fontId="0" fillId="0" borderId="6" xfId="15" applyNumberFormat="1" applyBorder="1" applyAlignment="1">
      <alignment/>
    </xf>
    <xf numFmtId="0" fontId="1" fillId="0" borderId="9" xfId="0" applyFont="1" applyBorder="1" applyAlignment="1">
      <alignment horizontal="center"/>
    </xf>
    <xf numFmtId="183" fontId="1" fillId="0" borderId="5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89" fontId="1" fillId="0" borderId="5" xfId="15" applyNumberFormat="1" applyFont="1" applyBorder="1" applyAlignment="1">
      <alignment horizontal="right"/>
    </xf>
    <xf numFmtId="189" fontId="1" fillId="0" borderId="5" xfId="15" applyNumberFormat="1" applyFont="1" applyBorder="1" applyAlignment="1">
      <alignment/>
    </xf>
    <xf numFmtId="186" fontId="1" fillId="0" borderId="5" xfId="15" applyNumberFormat="1" applyFont="1" applyBorder="1" applyAlignment="1">
      <alignment/>
    </xf>
    <xf numFmtId="186" fontId="1" fillId="0" borderId="6" xfId="15" applyNumberFormat="1" applyFont="1" applyBorder="1" applyAlignment="1">
      <alignment/>
    </xf>
    <xf numFmtId="0" fontId="8" fillId="0" borderId="9" xfId="0" applyFont="1" applyBorder="1" applyAlignment="1">
      <alignment horizontal="right"/>
    </xf>
    <xf numFmtId="183" fontId="0" fillId="0" borderId="5" xfId="15" applyNumberFormat="1" applyFill="1" applyBorder="1" applyAlignment="1">
      <alignment/>
    </xf>
    <xf numFmtId="186" fontId="1" fillId="0" borderId="6" xfId="15" applyNumberFormat="1" applyFont="1" applyBorder="1" applyAlignment="1">
      <alignment/>
    </xf>
    <xf numFmtId="192" fontId="0" fillId="0" borderId="5" xfId="15" applyNumberFormat="1" applyBorder="1" applyAlignment="1">
      <alignment/>
    </xf>
    <xf numFmtId="192" fontId="1" fillId="0" borderId="5" xfId="15" applyNumberFormat="1" applyFont="1" applyBorder="1" applyAlignment="1">
      <alignment/>
    </xf>
    <xf numFmtId="2" fontId="0" fillId="0" borderId="5" xfId="15" applyNumberFormat="1" applyBorder="1" applyAlignment="1">
      <alignment/>
    </xf>
    <xf numFmtId="2" fontId="0" fillId="0" borderId="5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186" fontId="0" fillId="0" borderId="6" xfId="15" applyNumberFormat="1" applyFont="1" applyBorder="1" applyAlignment="1">
      <alignment/>
    </xf>
    <xf numFmtId="183" fontId="0" fillId="0" borderId="5" xfId="15" applyNumberFormat="1" applyFont="1" applyBorder="1" applyAlignment="1">
      <alignment/>
    </xf>
    <xf numFmtId="178" fontId="0" fillId="0" borderId="5" xfId="0" applyNumberFormat="1" applyFont="1" applyFill="1" applyBorder="1" applyAlignment="1">
      <alignment/>
    </xf>
    <xf numFmtId="178" fontId="0" fillId="0" borderId="6" xfId="0" applyNumberFormat="1" applyFont="1" applyFill="1" applyBorder="1" applyAlignment="1">
      <alignment/>
    </xf>
    <xf numFmtId="2" fontId="1" fillId="0" borderId="5" xfId="15" applyNumberFormat="1" applyFont="1" applyBorder="1" applyAlignment="1">
      <alignment/>
    </xf>
    <xf numFmtId="178" fontId="1" fillId="0" borderId="5" xfId="0" applyNumberFormat="1" applyFont="1" applyFill="1" applyBorder="1" applyAlignment="1">
      <alignment/>
    </xf>
    <xf numFmtId="178" fontId="1" fillId="0" borderId="6" xfId="0" applyNumberFormat="1" applyFont="1" applyFill="1" applyBorder="1" applyAlignment="1">
      <alignment/>
    </xf>
    <xf numFmtId="0" fontId="14" fillId="0" borderId="9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183" fontId="0" fillId="0" borderId="6" xfId="15" applyNumberFormat="1" applyBorder="1" applyAlignment="1">
      <alignment/>
    </xf>
    <xf numFmtId="41" fontId="0" fillId="0" borderId="6" xfId="0" applyNumberFormat="1" applyFont="1" applyBorder="1" applyAlignment="1">
      <alignment/>
    </xf>
    <xf numFmtId="2" fontId="0" fillId="0" borderId="6" xfId="15" applyNumberFormat="1" applyFont="1" applyBorder="1" applyAlignment="1">
      <alignment/>
    </xf>
    <xf numFmtId="192" fontId="0" fillId="0" borderId="5" xfId="0" applyNumberFormat="1" applyFont="1" applyBorder="1" applyAlignment="1">
      <alignment/>
    </xf>
    <xf numFmtId="192" fontId="0" fillId="0" borderId="6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2" fontId="0" fillId="0" borderId="8" xfId="0" applyNumberFormat="1" applyBorder="1" applyAlignment="1">
      <alignment wrapText="1"/>
    </xf>
    <xf numFmtId="0" fontId="9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3" fontId="1" fillId="0" borderId="6" xfId="15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192" fontId="1" fillId="0" borderId="5" xfId="0" applyNumberFormat="1" applyFont="1" applyBorder="1" applyAlignment="1">
      <alignment/>
    </xf>
    <xf numFmtId="2" fontId="1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pane ySplit="4" topLeftCell="BM153" activePane="bottomLeft" state="frozen"/>
      <selection pane="topLeft" activeCell="A1" sqref="A1"/>
      <selection pane="bottomLeft" activeCell="A181" sqref="A181"/>
    </sheetView>
  </sheetViews>
  <sheetFormatPr defaultColWidth="9.00390625" defaultRowHeight="16.5"/>
  <cols>
    <col min="1" max="1" width="12.875" style="0" customWidth="1"/>
    <col min="2" max="2" width="11.625" style="0" customWidth="1"/>
    <col min="3" max="3" width="11.375" style="0" customWidth="1"/>
    <col min="4" max="4" width="10.50390625" style="0" customWidth="1"/>
    <col min="7" max="7" width="10.125" style="0" customWidth="1"/>
    <col min="8" max="8" width="10.00390625" style="0" customWidth="1"/>
  </cols>
  <sheetData>
    <row r="1" ht="27.75">
      <c r="A1" s="6" t="s">
        <v>0</v>
      </c>
    </row>
    <row r="2" spans="1:8" ht="26.25" thickBot="1">
      <c r="A2" s="7" t="s">
        <v>9</v>
      </c>
      <c r="B2" s="1"/>
      <c r="C2" s="1"/>
      <c r="D2" s="1"/>
      <c r="E2" s="1"/>
      <c r="F2" s="1"/>
      <c r="G2" s="1"/>
      <c r="H2" s="1"/>
    </row>
    <row r="3" spans="1:8" ht="22.5" customHeight="1">
      <c r="A3" s="64" t="s">
        <v>46</v>
      </c>
      <c r="B3" s="62" t="s">
        <v>36</v>
      </c>
      <c r="C3" s="62" t="s">
        <v>37</v>
      </c>
      <c r="D3" s="62" t="s">
        <v>38</v>
      </c>
      <c r="E3" s="2" t="s">
        <v>24</v>
      </c>
      <c r="F3" s="4"/>
      <c r="G3" s="2" t="s">
        <v>25</v>
      </c>
      <c r="H3" s="3"/>
    </row>
    <row r="4" spans="1:8" ht="22.5" customHeight="1" thickBot="1">
      <c r="A4" s="65"/>
      <c r="B4" s="63"/>
      <c r="C4" s="63"/>
      <c r="D4" s="63"/>
      <c r="E4" s="5" t="s">
        <v>10</v>
      </c>
      <c r="F4" s="5" t="s">
        <v>11</v>
      </c>
      <c r="G4" s="5" t="s">
        <v>10</v>
      </c>
      <c r="H4" s="12" t="s">
        <v>11</v>
      </c>
    </row>
    <row r="5" spans="1:8" ht="22.5" customHeight="1" hidden="1">
      <c r="A5" s="23" t="s">
        <v>44</v>
      </c>
      <c r="B5" s="15">
        <v>415634</v>
      </c>
      <c r="C5" s="15">
        <v>137328</v>
      </c>
      <c r="D5" s="15">
        <v>278306</v>
      </c>
      <c r="E5" s="18">
        <v>184</v>
      </c>
      <c r="F5" s="18">
        <v>373</v>
      </c>
      <c r="G5" s="18">
        <v>0.7016</v>
      </c>
      <c r="H5" s="19">
        <v>1.4218</v>
      </c>
    </row>
    <row r="6" spans="1:8" ht="22.5" customHeight="1" hidden="1">
      <c r="A6" s="23" t="s">
        <v>1</v>
      </c>
      <c r="B6" s="24">
        <v>440990</v>
      </c>
      <c r="C6" s="24">
        <v>153413</v>
      </c>
      <c r="D6" s="24">
        <v>287577</v>
      </c>
      <c r="E6" s="25">
        <v>201</v>
      </c>
      <c r="F6" s="25">
        <v>377</v>
      </c>
      <c r="G6" s="25">
        <v>0.7614</v>
      </c>
      <c r="H6" s="26">
        <v>1.4272</v>
      </c>
    </row>
    <row r="7" spans="1:8" ht="22.5" customHeight="1" hidden="1">
      <c r="A7" s="23" t="s">
        <v>2</v>
      </c>
      <c r="B7" s="24">
        <v>464387</v>
      </c>
      <c r="C7" s="24">
        <v>167759</v>
      </c>
      <c r="D7" s="24">
        <v>296628</v>
      </c>
      <c r="E7" s="25">
        <v>217</v>
      </c>
      <c r="F7" s="25">
        <v>383</v>
      </c>
      <c r="G7" s="27">
        <v>0.808</v>
      </c>
      <c r="H7" s="26">
        <v>1.4286</v>
      </c>
    </row>
    <row r="8" spans="1:8" ht="22.5" customHeight="1" hidden="1">
      <c r="A8" s="23" t="s">
        <v>3</v>
      </c>
      <c r="B8" s="24">
        <v>492748</v>
      </c>
      <c r="C8" s="24">
        <v>187653</v>
      </c>
      <c r="D8" s="24">
        <v>305095</v>
      </c>
      <c r="E8" s="25">
        <v>236</v>
      </c>
      <c r="F8" s="25">
        <v>384</v>
      </c>
      <c r="G8" s="25">
        <v>0.8736</v>
      </c>
      <c r="H8" s="26">
        <v>1.4203</v>
      </c>
    </row>
    <row r="9" spans="1:8" ht="22.5" customHeight="1" hidden="1">
      <c r="A9" s="23" t="s">
        <v>4</v>
      </c>
      <c r="B9" s="24">
        <v>522010</v>
      </c>
      <c r="C9" s="24">
        <v>205946</v>
      </c>
      <c r="D9" s="24">
        <v>316064</v>
      </c>
      <c r="E9" s="25">
        <v>252</v>
      </c>
      <c r="F9" s="25">
        <v>387</v>
      </c>
      <c r="G9" s="25">
        <v>0.9109</v>
      </c>
      <c r="H9" s="26">
        <v>1.398</v>
      </c>
    </row>
    <row r="10" spans="1:8" ht="22.5" customHeight="1" hidden="1">
      <c r="A10" s="23" t="s">
        <v>5</v>
      </c>
      <c r="B10" s="24">
        <v>548697</v>
      </c>
      <c r="C10" s="24">
        <v>223471</v>
      </c>
      <c r="D10" s="24">
        <v>325227</v>
      </c>
      <c r="E10" s="25">
        <v>238</v>
      </c>
      <c r="F10" s="25">
        <v>391</v>
      </c>
      <c r="G10" s="25">
        <v>0.9417</v>
      </c>
      <c r="H10" s="26">
        <v>1.3705</v>
      </c>
    </row>
    <row r="11" spans="1:8" ht="22.5" customHeight="1" hidden="1">
      <c r="A11" s="23" t="s">
        <v>6</v>
      </c>
      <c r="B11" s="24">
        <v>586014</v>
      </c>
      <c r="C11" s="24">
        <v>241203</v>
      </c>
      <c r="D11" s="24">
        <v>346007</v>
      </c>
      <c r="E11" s="25">
        <v>283</v>
      </c>
      <c r="F11" s="25">
        <v>406</v>
      </c>
      <c r="G11" s="25">
        <v>0.9782</v>
      </c>
      <c r="H11" s="26">
        <v>1.3888</v>
      </c>
    </row>
    <row r="12" spans="1:8" ht="22.5" customHeight="1" hidden="1">
      <c r="A12" s="23" t="s">
        <v>7</v>
      </c>
      <c r="B12" s="24">
        <v>632008</v>
      </c>
      <c r="C12" s="24">
        <v>257213</v>
      </c>
      <c r="D12" s="24">
        <v>376013</v>
      </c>
      <c r="E12" s="25">
        <v>293</v>
      </c>
      <c r="F12" s="25">
        <v>429</v>
      </c>
      <c r="G12" s="25">
        <v>0.9757</v>
      </c>
      <c r="H12" s="26">
        <v>1.4263</v>
      </c>
    </row>
    <row r="13" spans="1:8" ht="22.5" customHeight="1" hidden="1">
      <c r="A13" s="23" t="s">
        <v>8</v>
      </c>
      <c r="B13" s="24">
        <v>681608</v>
      </c>
      <c r="C13" s="24">
        <v>272971</v>
      </c>
      <c r="D13" s="24">
        <v>408637</v>
      </c>
      <c r="E13" s="25">
        <v>303</v>
      </c>
      <c r="F13" s="25">
        <v>453</v>
      </c>
      <c r="G13" s="25">
        <v>0.9875</v>
      </c>
      <c r="H13" s="26">
        <v>1.4782</v>
      </c>
    </row>
    <row r="14" spans="1:8" ht="15" customHeight="1" hidden="1">
      <c r="A14" s="17" t="s">
        <v>12</v>
      </c>
      <c r="B14" s="16">
        <v>637506</v>
      </c>
      <c r="C14" s="16">
        <v>259474</v>
      </c>
      <c r="D14" s="16">
        <v>378032</v>
      </c>
      <c r="E14" s="8">
        <v>295</v>
      </c>
      <c r="F14" s="8">
        <v>430</v>
      </c>
      <c r="G14" s="8">
        <v>0.9811</v>
      </c>
      <c r="H14" s="9">
        <v>1.4294</v>
      </c>
    </row>
    <row r="15" spans="1:8" ht="15" customHeight="1" hidden="1">
      <c r="A15" s="17" t="s">
        <v>20</v>
      </c>
      <c r="B15" s="16">
        <v>640478</v>
      </c>
      <c r="C15" s="16">
        <v>260289</v>
      </c>
      <c r="D15" s="16">
        <v>380189</v>
      </c>
      <c r="E15" s="8">
        <v>296</v>
      </c>
      <c r="F15" s="8">
        <v>432</v>
      </c>
      <c r="G15" s="8">
        <v>0.9813</v>
      </c>
      <c r="H15" s="9">
        <v>1.4333</v>
      </c>
    </row>
    <row r="16" spans="1:8" ht="15" customHeight="1" hidden="1">
      <c r="A16" s="17" t="s">
        <v>13</v>
      </c>
      <c r="B16" s="16">
        <v>644742</v>
      </c>
      <c r="C16" s="16">
        <v>261049</v>
      </c>
      <c r="D16" s="16">
        <v>383693</v>
      </c>
      <c r="E16" s="8">
        <v>296</v>
      </c>
      <c r="F16" s="8">
        <v>435</v>
      </c>
      <c r="G16" s="8">
        <v>0.9786</v>
      </c>
      <c r="H16" s="9">
        <v>1.4383</v>
      </c>
    </row>
    <row r="17" spans="1:8" ht="15" customHeight="1" hidden="1">
      <c r="A17" s="17" t="s">
        <v>14</v>
      </c>
      <c r="B17" s="16">
        <v>648367</v>
      </c>
      <c r="C17" s="16">
        <v>261801</v>
      </c>
      <c r="D17" s="16">
        <v>386566</v>
      </c>
      <c r="E17" s="8">
        <v>296</v>
      </c>
      <c r="F17" s="8">
        <v>437</v>
      </c>
      <c r="G17" s="8">
        <v>0.9777</v>
      </c>
      <c r="H17" s="9">
        <v>1.4436</v>
      </c>
    </row>
    <row r="18" spans="1:8" ht="15" customHeight="1" hidden="1">
      <c r="A18" s="17" t="s">
        <v>15</v>
      </c>
      <c r="B18" s="16">
        <v>653073</v>
      </c>
      <c r="C18" s="16">
        <v>262668</v>
      </c>
      <c r="D18" s="16">
        <v>390405</v>
      </c>
      <c r="E18" s="8">
        <v>296</v>
      </c>
      <c r="F18" s="8">
        <v>440</v>
      </c>
      <c r="G18" s="8">
        <v>0.9755</v>
      </c>
      <c r="H18" s="9">
        <v>1.4499</v>
      </c>
    </row>
    <row r="19" spans="1:8" ht="15" customHeight="1" hidden="1">
      <c r="A19" s="17" t="s">
        <v>16</v>
      </c>
      <c r="B19" s="16">
        <v>657606</v>
      </c>
      <c r="C19" s="16">
        <v>263936</v>
      </c>
      <c r="D19" s="16">
        <v>393670</v>
      </c>
      <c r="E19" s="8">
        <v>297</v>
      </c>
      <c r="F19" s="8">
        <v>443</v>
      </c>
      <c r="G19" s="8">
        <v>0.9733</v>
      </c>
      <c r="H19" s="9">
        <v>1.4517</v>
      </c>
    </row>
    <row r="20" spans="1:8" ht="15" customHeight="1" hidden="1">
      <c r="A20" s="17" t="s">
        <v>17</v>
      </c>
      <c r="B20" s="16">
        <v>662488</v>
      </c>
      <c r="C20" s="16">
        <v>266042</v>
      </c>
      <c r="D20" s="16">
        <v>396446</v>
      </c>
      <c r="E20" s="8">
        <v>298</v>
      </c>
      <c r="F20" s="8">
        <v>444</v>
      </c>
      <c r="G20" s="8">
        <v>0.9766</v>
      </c>
      <c r="H20" s="9">
        <v>1.4552</v>
      </c>
    </row>
    <row r="21" spans="1:8" ht="15" customHeight="1" hidden="1">
      <c r="A21" s="17" t="s">
        <v>18</v>
      </c>
      <c r="B21" s="16">
        <v>665598</v>
      </c>
      <c r="C21" s="16">
        <v>267109</v>
      </c>
      <c r="D21" s="16">
        <v>398489</v>
      </c>
      <c r="E21" s="8">
        <v>299</v>
      </c>
      <c r="F21" s="8">
        <v>445</v>
      </c>
      <c r="G21" s="8">
        <v>0.9757</v>
      </c>
      <c r="H21" s="9">
        <v>1.4556</v>
      </c>
    </row>
    <row r="22" spans="1:8" ht="15" customHeight="1" hidden="1">
      <c r="A22" s="17" t="s">
        <v>19</v>
      </c>
      <c r="B22" s="16">
        <v>671897</v>
      </c>
      <c r="C22" s="16">
        <v>269296</v>
      </c>
      <c r="D22" s="16">
        <v>402601</v>
      </c>
      <c r="E22" s="8">
        <v>300</v>
      </c>
      <c r="F22" s="8">
        <v>449</v>
      </c>
      <c r="G22" s="28">
        <v>0.98</v>
      </c>
      <c r="H22" s="9">
        <v>1.4651</v>
      </c>
    </row>
    <row r="23" spans="1:8" ht="15" customHeight="1" hidden="1">
      <c r="A23" s="17" t="s">
        <v>21</v>
      </c>
      <c r="B23" s="16">
        <v>675957</v>
      </c>
      <c r="C23" s="16">
        <v>270676</v>
      </c>
      <c r="D23" s="16">
        <v>405281</v>
      </c>
      <c r="E23" s="8">
        <v>301</v>
      </c>
      <c r="F23" s="8">
        <v>451</v>
      </c>
      <c r="G23" s="8">
        <v>0.9738</v>
      </c>
      <c r="H23" s="29">
        <v>1.473</v>
      </c>
    </row>
    <row r="24" spans="1:8" ht="15" customHeight="1" hidden="1">
      <c r="A24" s="17" t="s">
        <v>22</v>
      </c>
      <c r="B24" s="16">
        <v>679337</v>
      </c>
      <c r="C24" s="16">
        <v>272151</v>
      </c>
      <c r="D24" s="16">
        <v>407186</v>
      </c>
      <c r="E24" s="8">
        <v>303</v>
      </c>
      <c r="F24" s="8">
        <v>453</v>
      </c>
      <c r="G24" s="28">
        <v>0.988</v>
      </c>
      <c r="H24" s="9">
        <v>1.4783</v>
      </c>
    </row>
    <row r="25" spans="1:8" ht="15" customHeight="1" hidden="1">
      <c r="A25" s="17" t="s">
        <v>23</v>
      </c>
      <c r="B25" s="16">
        <v>681608</v>
      </c>
      <c r="C25" s="16">
        <v>272971</v>
      </c>
      <c r="D25" s="16">
        <v>408637</v>
      </c>
      <c r="E25" s="8">
        <v>303</v>
      </c>
      <c r="F25" s="8">
        <v>453</v>
      </c>
      <c r="G25" s="8">
        <v>0.9875</v>
      </c>
      <c r="H25" s="9">
        <v>1.4782</v>
      </c>
    </row>
    <row r="26" spans="1:8" ht="22.5" customHeight="1" hidden="1">
      <c r="A26" s="23" t="s">
        <v>27</v>
      </c>
      <c r="B26" s="24">
        <v>709625</v>
      </c>
      <c r="C26" s="24">
        <v>279709</v>
      </c>
      <c r="D26" s="24">
        <v>429916</v>
      </c>
      <c r="E26" s="30">
        <v>304.764281075804</v>
      </c>
      <c r="F26" s="31">
        <v>468.4262596590934</v>
      </c>
      <c r="G26" s="32">
        <v>0.9798707326899161</v>
      </c>
      <c r="H26" s="33">
        <v>1.5060727610306353</v>
      </c>
    </row>
    <row r="27" spans="1:8" ht="21.75" customHeight="1" hidden="1">
      <c r="A27" s="17" t="s">
        <v>12</v>
      </c>
      <c r="B27" s="16">
        <v>685831</v>
      </c>
      <c r="C27" s="16">
        <v>275637</v>
      </c>
      <c r="D27" s="16">
        <v>410194</v>
      </c>
      <c r="E27" s="16">
        <v>305</v>
      </c>
      <c r="F27" s="16">
        <v>454</v>
      </c>
      <c r="G27" s="21">
        <v>0.9953</v>
      </c>
      <c r="H27" s="22">
        <v>1.4812</v>
      </c>
    </row>
    <row r="28" spans="1:8" ht="21.75" customHeight="1" hidden="1">
      <c r="A28" s="17" t="s">
        <v>20</v>
      </c>
      <c r="B28" s="16">
        <v>688737</v>
      </c>
      <c r="C28" s="16">
        <v>276572</v>
      </c>
      <c r="D28" s="16">
        <v>412165</v>
      </c>
      <c r="E28" s="16">
        <v>306</v>
      </c>
      <c r="F28" s="16">
        <v>456</v>
      </c>
      <c r="G28" s="21">
        <v>0.9938</v>
      </c>
      <c r="H28" s="22">
        <v>1.481</v>
      </c>
    </row>
    <row r="29" spans="1:8" ht="21.75" customHeight="1" hidden="1">
      <c r="A29" s="17" t="s">
        <v>13</v>
      </c>
      <c r="B29" s="16">
        <v>692488</v>
      </c>
      <c r="C29" s="16">
        <v>278060</v>
      </c>
      <c r="D29" s="16">
        <v>414428</v>
      </c>
      <c r="E29" s="16">
        <v>307</v>
      </c>
      <c r="F29" s="16">
        <v>457</v>
      </c>
      <c r="G29" s="21">
        <v>0.9965</v>
      </c>
      <c r="H29" s="22">
        <v>1.4852</v>
      </c>
    </row>
    <row r="30" spans="1:8" ht="21.75" customHeight="1" hidden="1">
      <c r="A30" s="17" t="s">
        <v>14</v>
      </c>
      <c r="B30" s="16">
        <v>694870</v>
      </c>
      <c r="C30" s="16">
        <v>278825</v>
      </c>
      <c r="D30" s="16">
        <v>416045</v>
      </c>
      <c r="E30" s="16">
        <v>307</v>
      </c>
      <c r="F30" s="16">
        <v>459</v>
      </c>
      <c r="G30" s="21">
        <v>0.9961</v>
      </c>
      <c r="H30" s="22">
        <v>1.4863</v>
      </c>
    </row>
    <row r="31" spans="1:8" ht="21.75" customHeight="1" hidden="1">
      <c r="A31" s="17" t="s">
        <v>15</v>
      </c>
      <c r="B31" s="16">
        <v>698408</v>
      </c>
      <c r="C31" s="16">
        <v>280237</v>
      </c>
      <c r="D31" s="16">
        <v>418171</v>
      </c>
      <c r="E31" s="16">
        <v>308</v>
      </c>
      <c r="F31" s="16">
        <v>460</v>
      </c>
      <c r="G31" s="21">
        <v>0.9985</v>
      </c>
      <c r="H31" s="22">
        <v>1.4899</v>
      </c>
    </row>
    <row r="32" spans="1:8" ht="21.75" customHeight="1" hidden="1">
      <c r="A32" s="17" t="s">
        <v>16</v>
      </c>
      <c r="B32" s="16">
        <f aca="true" t="shared" si="0" ref="B32:B41">SUM(C32+D32)</f>
        <v>692753</v>
      </c>
      <c r="C32" s="16">
        <v>272013</v>
      </c>
      <c r="D32" s="16">
        <v>420740</v>
      </c>
      <c r="E32" s="16">
        <v>299</v>
      </c>
      <c r="F32" s="16">
        <v>462</v>
      </c>
      <c r="G32" s="21">
        <v>0.9666</v>
      </c>
      <c r="H32" s="22">
        <v>1.4951</v>
      </c>
    </row>
    <row r="33" spans="1:8" ht="21.75" customHeight="1" hidden="1">
      <c r="A33" s="17" t="s">
        <v>17</v>
      </c>
      <c r="B33" s="16">
        <f t="shared" si="0"/>
        <v>697246</v>
      </c>
      <c r="C33" s="16">
        <v>274322</v>
      </c>
      <c r="D33" s="16">
        <v>422924</v>
      </c>
      <c r="E33" s="16">
        <v>301</v>
      </c>
      <c r="F33" s="16">
        <v>464</v>
      </c>
      <c r="G33" s="21">
        <v>0.9727</v>
      </c>
      <c r="H33" s="22">
        <v>1.5</v>
      </c>
    </row>
    <row r="34" spans="1:8" ht="21.75" customHeight="1" hidden="1">
      <c r="A34" s="17" t="s">
        <v>18</v>
      </c>
      <c r="B34" s="16">
        <f t="shared" si="0"/>
        <v>701816</v>
      </c>
      <c r="C34" s="16">
        <v>276206</v>
      </c>
      <c r="D34" s="16">
        <v>425610</v>
      </c>
      <c r="E34" s="16">
        <v>303</v>
      </c>
      <c r="F34" s="16">
        <v>466</v>
      </c>
      <c r="G34" s="21">
        <v>0.9764</v>
      </c>
      <c r="H34" s="22">
        <v>1.5046</v>
      </c>
    </row>
    <row r="35" spans="1:8" ht="21.75" customHeight="1" hidden="1">
      <c r="A35" s="17" t="s">
        <v>19</v>
      </c>
      <c r="B35" s="16">
        <f t="shared" si="0"/>
        <v>705635</v>
      </c>
      <c r="C35" s="16">
        <v>277101</v>
      </c>
      <c r="D35" s="16">
        <v>428534</v>
      </c>
      <c r="E35" s="16">
        <v>303</v>
      </c>
      <c r="F35" s="16">
        <v>469</v>
      </c>
      <c r="G35" s="21">
        <v>0.977</v>
      </c>
      <c r="H35" s="22">
        <v>1.5109</v>
      </c>
    </row>
    <row r="36" spans="1:8" ht="21.75" customHeight="1" hidden="1">
      <c r="A36" s="17" t="s">
        <v>32</v>
      </c>
      <c r="B36" s="16">
        <f t="shared" si="0"/>
        <v>709115</v>
      </c>
      <c r="C36" s="16">
        <v>278016</v>
      </c>
      <c r="D36" s="16">
        <v>431099</v>
      </c>
      <c r="E36" s="16">
        <v>304</v>
      </c>
      <c r="F36" s="16">
        <v>471</v>
      </c>
      <c r="G36" s="21">
        <v>0.978</v>
      </c>
      <c r="H36" s="22">
        <v>1.5164</v>
      </c>
    </row>
    <row r="37" spans="1:8" ht="21.75" customHeight="1" hidden="1">
      <c r="A37" s="23" t="s">
        <v>33</v>
      </c>
      <c r="B37" s="24">
        <f t="shared" si="0"/>
        <v>723592</v>
      </c>
      <c r="C37" s="24">
        <v>275193</v>
      </c>
      <c r="D37" s="24">
        <v>448399</v>
      </c>
      <c r="E37" s="30">
        <f>C37/935314*1000</f>
        <v>294.22525483420543</v>
      </c>
      <c r="F37" s="31">
        <f>D37/940589*1000</f>
        <v>476.72150110196907</v>
      </c>
      <c r="G37" s="32">
        <f>C37/296875</f>
        <v>0.9269658947368421</v>
      </c>
      <c r="H37" s="33">
        <f>D37/296875</f>
        <v>1.5103966315789474</v>
      </c>
    </row>
    <row r="38" spans="1:8" ht="21.75" customHeight="1" hidden="1">
      <c r="A38" s="17" t="s">
        <v>35</v>
      </c>
      <c r="B38" s="16">
        <f t="shared" si="0"/>
        <v>710502</v>
      </c>
      <c r="C38" s="16">
        <v>279471</v>
      </c>
      <c r="D38" s="16">
        <v>431031</v>
      </c>
      <c r="E38" s="20">
        <f>C38/920670*1000</f>
        <v>303.5517612173743</v>
      </c>
      <c r="F38" s="20">
        <f>D38/920670*1000</f>
        <v>468.17100589787873</v>
      </c>
      <c r="G38" s="21">
        <f>C38/286867</f>
        <v>0.9742180174087643</v>
      </c>
      <c r="H38" s="22">
        <f>D38/286867</f>
        <v>1.5025464762416032</v>
      </c>
    </row>
    <row r="39" spans="1:8" ht="22.5" customHeight="1" hidden="1">
      <c r="A39" s="17" t="s">
        <v>39</v>
      </c>
      <c r="B39" s="16">
        <f t="shared" si="0"/>
        <v>712283</v>
      </c>
      <c r="C39" s="16">
        <v>279464</v>
      </c>
      <c r="D39" s="16">
        <v>432819</v>
      </c>
      <c r="E39" s="20">
        <f>C39/922762*1000</f>
        <v>302.8559910356083</v>
      </c>
      <c r="F39" s="20">
        <f>D39/922762*1000</f>
        <v>469.04727329473906</v>
      </c>
      <c r="G39" s="21">
        <f>C39/288084</f>
        <v>0.9700781716443815</v>
      </c>
      <c r="H39" s="22">
        <f>D39/288084</f>
        <v>1.502405548381722</v>
      </c>
    </row>
    <row r="40" spans="1:8" ht="22.5" customHeight="1" hidden="1">
      <c r="A40" s="17" t="s">
        <v>40</v>
      </c>
      <c r="B40" s="16">
        <f t="shared" si="0"/>
        <v>714086</v>
      </c>
      <c r="C40" s="16">
        <v>280129</v>
      </c>
      <c r="D40" s="16">
        <v>433957</v>
      </c>
      <c r="E40" s="20">
        <f>C40/924799*1000</f>
        <v>302.9079832482518</v>
      </c>
      <c r="F40" s="20">
        <f>D40/924799*1000</f>
        <v>469.2446683008957</v>
      </c>
      <c r="G40" s="21">
        <f>C40/289164</f>
        <v>0.9687547550870786</v>
      </c>
      <c r="H40" s="22">
        <f>D40/289164</f>
        <v>1.5007296897262452</v>
      </c>
    </row>
    <row r="41" spans="1:8" ht="22.5" customHeight="1" hidden="1">
      <c r="A41" s="17" t="s">
        <v>43</v>
      </c>
      <c r="B41" s="16">
        <f t="shared" si="0"/>
        <v>716218</v>
      </c>
      <c r="C41" s="16">
        <v>280875</v>
      </c>
      <c r="D41" s="16">
        <v>435343</v>
      </c>
      <c r="E41" s="20">
        <f>C41/927203*1000</f>
        <v>302.9271907014969</v>
      </c>
      <c r="F41" s="20">
        <f>D41/927203*1000</f>
        <v>469.52285529706006</v>
      </c>
      <c r="G41" s="21">
        <f>C41/290394</f>
        <v>0.9672203971156429</v>
      </c>
      <c r="H41" s="22">
        <f>D41/290394</f>
        <v>1.499145987864763</v>
      </c>
    </row>
    <row r="42" spans="1:8" ht="22.5" customHeight="1" hidden="1">
      <c r="A42" s="17" t="s">
        <v>30</v>
      </c>
      <c r="B42" s="16">
        <f aca="true" t="shared" si="1" ref="B42:B47">SUM(C42+D42)</f>
        <v>718520</v>
      </c>
      <c r="C42" s="16">
        <v>281920</v>
      </c>
      <c r="D42" s="16">
        <v>436600</v>
      </c>
      <c r="E42" s="20">
        <f>C42/930175*1000</f>
        <v>303.082753245357</v>
      </c>
      <c r="F42" s="20">
        <f>D42/930175*1000</f>
        <v>469.37404251888086</v>
      </c>
      <c r="G42" s="21">
        <f>C42/291834</f>
        <v>0.966028632715859</v>
      </c>
      <c r="H42" s="22">
        <f>D42/291834</f>
        <v>1.4960559770280364</v>
      </c>
    </row>
    <row r="43" spans="1:8" ht="22.5" customHeight="1" hidden="1">
      <c r="A43" s="17" t="s">
        <v>31</v>
      </c>
      <c r="B43" s="16">
        <f t="shared" si="1"/>
        <v>722516</v>
      </c>
      <c r="C43" s="16">
        <v>283197</v>
      </c>
      <c r="D43" s="16">
        <v>439319</v>
      </c>
      <c r="E43" s="20">
        <f>C43/931965*1000</f>
        <v>303.8708535191772</v>
      </c>
      <c r="F43" s="20">
        <f>D43/931965*1000</f>
        <v>471.3900200114811</v>
      </c>
      <c r="G43" s="21">
        <f>C43/292757</f>
        <v>0.9673449311203489</v>
      </c>
      <c r="H43" s="22">
        <f>D43/292757</f>
        <v>1.5006267997007758</v>
      </c>
    </row>
    <row r="44" spans="1:8" ht="22.5" customHeight="1" hidden="1">
      <c r="A44" s="17" t="s">
        <v>47</v>
      </c>
      <c r="B44" s="16">
        <f t="shared" si="1"/>
        <v>725680</v>
      </c>
      <c r="C44" s="16">
        <v>284252</v>
      </c>
      <c r="D44" s="16">
        <v>441428</v>
      </c>
      <c r="E44" s="20">
        <f>C44/934056*1000</f>
        <v>304.3200835924185</v>
      </c>
      <c r="F44" s="20">
        <f>D44/934056*1000</f>
        <v>472.59264969123905</v>
      </c>
      <c r="G44" s="21">
        <f>C44/293677</f>
        <v>0.9679069181447645</v>
      </c>
      <c r="H44" s="22">
        <f>D44/293677</f>
        <v>1.5031071551398305</v>
      </c>
    </row>
    <row r="45" spans="1:8" ht="22.5" customHeight="1" hidden="1">
      <c r="A45" s="17" t="s">
        <v>48</v>
      </c>
      <c r="B45" s="16">
        <f t="shared" si="1"/>
        <v>730075</v>
      </c>
      <c r="C45" s="16">
        <v>285447</v>
      </c>
      <c r="D45" s="16">
        <v>444628</v>
      </c>
      <c r="E45" s="20">
        <f>C45/935314*1000</f>
        <v>305.1884180072147</v>
      </c>
      <c r="F45" s="20">
        <f>D45/935314*1000</f>
        <v>475.3783221463594</v>
      </c>
      <c r="G45" s="21">
        <f>C45/294396</f>
        <v>0.9696021685077243</v>
      </c>
      <c r="H45" s="22">
        <f>D45/294396</f>
        <v>1.510305846546828</v>
      </c>
    </row>
    <row r="46" spans="1:8" ht="22.5" customHeight="1" hidden="1">
      <c r="A46" s="17" t="s">
        <v>49</v>
      </c>
      <c r="B46" s="16">
        <f t="shared" si="1"/>
        <v>729087</v>
      </c>
      <c r="C46" s="16">
        <v>281758</v>
      </c>
      <c r="D46" s="16">
        <v>447329</v>
      </c>
      <c r="E46" s="20">
        <v>301</v>
      </c>
      <c r="F46" s="20">
        <f>D46/936774*1000</f>
        <v>477.52072538307</v>
      </c>
      <c r="G46" s="21">
        <f>C46/295228</f>
        <v>0.9543742463451976</v>
      </c>
      <c r="H46" s="22">
        <f>D46/295228</f>
        <v>1.5151984229138158</v>
      </c>
    </row>
    <row r="47" spans="1:8" ht="22.5" customHeight="1" hidden="1">
      <c r="A47" s="17" t="s">
        <v>50</v>
      </c>
      <c r="B47" s="16">
        <f t="shared" si="1"/>
        <v>727716</v>
      </c>
      <c r="C47" s="16">
        <v>277987</v>
      </c>
      <c r="D47" s="16">
        <v>449729</v>
      </c>
      <c r="E47" s="20">
        <f>C47/935314*1000</f>
        <v>297.2124869295231</v>
      </c>
      <c r="F47" s="20">
        <f>D47/938482*1000</f>
        <v>479.20897790261296</v>
      </c>
      <c r="G47" s="21">
        <f>C47/295985</f>
        <v>0.9391928645032688</v>
      </c>
      <c r="H47" s="22">
        <f>D47/295985</f>
        <v>1.5194317279591871</v>
      </c>
    </row>
    <row r="48" spans="1:8" ht="22.5" customHeight="1" hidden="1">
      <c r="A48" s="34" t="s">
        <v>51</v>
      </c>
      <c r="B48" s="16">
        <f aca="true" t="shared" si="2" ref="B48:B54">SUM(C48+D48)</f>
        <v>723592</v>
      </c>
      <c r="C48" s="16">
        <v>275193</v>
      </c>
      <c r="D48" s="16">
        <v>448399</v>
      </c>
      <c r="E48" s="20">
        <f>C48/935314*1000</f>
        <v>294.22525483420543</v>
      </c>
      <c r="F48" s="20">
        <f>D48/940589*1000</f>
        <v>476.72150110196907</v>
      </c>
      <c r="G48" s="21">
        <f>C48/296875</f>
        <v>0.9269658947368421</v>
      </c>
      <c r="H48" s="22">
        <f>D48/296875</f>
        <v>1.5103966315789474</v>
      </c>
    </row>
    <row r="49" spans="1:8" ht="22.5" customHeight="1" hidden="1">
      <c r="A49" s="23" t="s">
        <v>52</v>
      </c>
      <c r="B49" s="24">
        <f t="shared" si="2"/>
        <v>764592</v>
      </c>
      <c r="C49" s="24">
        <v>291732</v>
      </c>
      <c r="D49" s="24">
        <v>472860</v>
      </c>
      <c r="E49" s="31">
        <f>C49/965790*1000</f>
        <v>302.0656664492281</v>
      </c>
      <c r="F49" s="31">
        <f>D49/965790*1000</f>
        <v>489.60954244711587</v>
      </c>
      <c r="G49" s="32">
        <f>C49/307505</f>
        <v>0.9487065250971529</v>
      </c>
      <c r="H49" s="36">
        <f>D49/307505</f>
        <v>1.5377310938033528</v>
      </c>
    </row>
    <row r="50" spans="1:8" ht="22.5" customHeight="1" hidden="1">
      <c r="A50" s="34" t="s">
        <v>34</v>
      </c>
      <c r="B50" s="16">
        <f t="shared" si="2"/>
        <v>725865</v>
      </c>
      <c r="C50" s="16">
        <v>275997</v>
      </c>
      <c r="D50" s="16">
        <v>449868</v>
      </c>
      <c r="E50" s="20">
        <f>C50/942343*1000</f>
        <v>292.8838013334847</v>
      </c>
      <c r="F50" s="20">
        <f>D50/942343*1000</f>
        <v>477.39305115016504</v>
      </c>
      <c r="G50" s="21">
        <f>C50/297553</f>
        <v>0.9275557631749638</v>
      </c>
      <c r="H50" s="22">
        <f>D50/297553</f>
        <v>1.5118919990724342</v>
      </c>
    </row>
    <row r="51" spans="1:8" ht="22.5" customHeight="1" hidden="1">
      <c r="A51" s="34" t="s">
        <v>53</v>
      </c>
      <c r="B51" s="16">
        <f t="shared" si="2"/>
        <v>730230</v>
      </c>
      <c r="C51" s="16">
        <v>278560</v>
      </c>
      <c r="D51" s="16">
        <v>451670</v>
      </c>
      <c r="E51" s="20">
        <f>C51/943989*1000</f>
        <v>295.08818429028304</v>
      </c>
      <c r="F51" s="20">
        <f>D51/943989*1000</f>
        <v>478.46955843765124</v>
      </c>
      <c r="G51" s="21">
        <f>C51/298031</f>
        <v>0.9346678701208935</v>
      </c>
      <c r="H51" s="22">
        <f>D51/298031</f>
        <v>1.5155134868520388</v>
      </c>
    </row>
    <row r="52" spans="1:8" ht="22.5" customHeight="1" hidden="1">
      <c r="A52" s="34" t="s">
        <v>28</v>
      </c>
      <c r="B52" s="16">
        <f t="shared" si="2"/>
        <v>731547</v>
      </c>
      <c r="C52" s="16">
        <v>278477</v>
      </c>
      <c r="D52" s="16">
        <v>453070</v>
      </c>
      <c r="E52" s="20">
        <f>C52/946310*1000</f>
        <v>294.27671693208356</v>
      </c>
      <c r="F52" s="20">
        <f>D52/946310*1000</f>
        <v>478.77545413236675</v>
      </c>
      <c r="G52" s="21">
        <f>C52/298990</f>
        <v>0.9313923542593397</v>
      </c>
      <c r="H52" s="22">
        <f>D52/298990</f>
        <v>1.515334961035486</v>
      </c>
    </row>
    <row r="53" spans="1:8" ht="22.5" customHeight="1" hidden="1">
      <c r="A53" s="34" t="s">
        <v>54</v>
      </c>
      <c r="B53" s="16">
        <f t="shared" si="2"/>
        <v>740374</v>
      </c>
      <c r="C53" s="16">
        <v>282563</v>
      </c>
      <c r="D53" s="16">
        <v>457811</v>
      </c>
      <c r="E53" s="20">
        <f>C53/948589*1000</f>
        <v>297.8771628176165</v>
      </c>
      <c r="F53" s="20">
        <f>D53/948589*1000</f>
        <v>482.62313815572395</v>
      </c>
      <c r="G53" s="21">
        <f>C53/300079</f>
        <v>0.9416287044411639</v>
      </c>
      <c r="H53" s="22">
        <f>D53/300079</f>
        <v>1.5256349161387501</v>
      </c>
    </row>
    <row r="54" spans="1:8" ht="22.5" customHeight="1" hidden="1">
      <c r="A54" s="34" t="s">
        <v>55</v>
      </c>
      <c r="B54" s="16">
        <f t="shared" si="2"/>
        <v>737405</v>
      </c>
      <c r="C54" s="16">
        <v>280960</v>
      </c>
      <c r="D54" s="16">
        <v>456445</v>
      </c>
      <c r="E54" s="20">
        <f>C54/951331*1000</f>
        <v>295.3335905168653</v>
      </c>
      <c r="F54" s="20">
        <f>D54/951331*1000</f>
        <v>479.7962013221476</v>
      </c>
      <c r="G54" s="21">
        <f>C54/301412</f>
        <v>0.9321460326728863</v>
      </c>
      <c r="H54" s="22">
        <f>D54/301412</f>
        <v>1.5143557655302378</v>
      </c>
    </row>
    <row r="55" spans="1:8" ht="22.5" customHeight="1" hidden="1">
      <c r="A55" s="34" t="s">
        <v>56</v>
      </c>
      <c r="B55" s="16">
        <v>740988</v>
      </c>
      <c r="C55" s="16">
        <v>282617</v>
      </c>
      <c r="D55" s="16">
        <v>458371</v>
      </c>
      <c r="E55" s="20">
        <v>296.1892814435896</v>
      </c>
      <c r="F55" s="20">
        <v>480.38361855295193</v>
      </c>
      <c r="G55" s="21">
        <v>0.9331882674978785</v>
      </c>
      <c r="H55" s="22">
        <v>1.5135198496950646</v>
      </c>
    </row>
    <row r="56" spans="1:8" ht="22.5" customHeight="1" hidden="1">
      <c r="A56" s="34" t="s">
        <v>57</v>
      </c>
      <c r="B56" s="16">
        <f aca="true" t="shared" si="3" ref="B56:B62">SUM(C56+D56)</f>
        <v>743043</v>
      </c>
      <c r="C56" s="16">
        <v>282617</v>
      </c>
      <c r="D56" s="35">
        <f>254502+205924</f>
        <v>460426</v>
      </c>
      <c r="E56" s="20">
        <f>C56/956285*1000</f>
        <v>295.53637252492723</v>
      </c>
      <c r="F56" s="20">
        <f>D56/956285*1000</f>
        <v>481.47361926622295</v>
      </c>
      <c r="G56" s="21">
        <f>C56/303279</f>
        <v>0.9318713132132459</v>
      </c>
      <c r="H56" s="22">
        <f>D56/303279</f>
        <v>1.518159846214212</v>
      </c>
    </row>
    <row r="57" spans="1:8" ht="22.5" customHeight="1" hidden="1">
      <c r="A57" s="34" t="s">
        <v>58</v>
      </c>
      <c r="B57" s="16">
        <f t="shared" si="3"/>
        <v>748219</v>
      </c>
      <c r="C57" s="16">
        <v>285870</v>
      </c>
      <c r="D57" s="16">
        <f>255932+206417</f>
        <v>462349</v>
      </c>
      <c r="E57" s="37">
        <f>C57/958300*1000</f>
        <v>298.3095064176145</v>
      </c>
      <c r="F57" s="37">
        <f>D57/958300*1000</f>
        <v>482.46791192737135</v>
      </c>
      <c r="G57" s="21">
        <f>C57/304591</f>
        <v>0.93853725159312</v>
      </c>
      <c r="H57" s="22">
        <f>D57/304591</f>
        <v>1.5179338851115103</v>
      </c>
    </row>
    <row r="58" spans="1:8" ht="22.5" customHeight="1" hidden="1">
      <c r="A58" s="34" t="s">
        <v>59</v>
      </c>
      <c r="B58" s="16">
        <f t="shared" si="3"/>
        <v>750221</v>
      </c>
      <c r="C58" s="16">
        <v>286419</v>
      </c>
      <c r="D58" s="16">
        <v>463802</v>
      </c>
      <c r="E58" s="20">
        <f>C58/960091*1000</f>
        <v>298.324846290612</v>
      </c>
      <c r="F58" s="20">
        <f>D58/960091*1000</f>
        <v>483.0812912526</v>
      </c>
      <c r="G58" s="21">
        <f>C58/305286</f>
        <v>0.9381989347693638</v>
      </c>
      <c r="H58" s="22">
        <f>D58/305286</f>
        <v>1.5192376984204976</v>
      </c>
    </row>
    <row r="59" spans="1:8" ht="22.5" customHeight="1" hidden="1">
      <c r="A59" s="34" t="s">
        <v>60</v>
      </c>
      <c r="B59" s="16">
        <f t="shared" si="3"/>
        <v>754536</v>
      </c>
      <c r="C59" s="16">
        <v>287788</v>
      </c>
      <c r="D59" s="16">
        <v>466748</v>
      </c>
      <c r="E59" s="20">
        <f>C59/962141*1000</f>
        <v>299.11208440342944</v>
      </c>
      <c r="F59" s="20">
        <f>D59/962141*1000</f>
        <v>485.11392820802774</v>
      </c>
      <c r="G59" s="21">
        <f>C59/306104</f>
        <v>0.9401641272247341</v>
      </c>
      <c r="H59" s="22">
        <f>D59/306104</f>
        <v>1.5248020280688916</v>
      </c>
    </row>
    <row r="60" spans="1:8" ht="22.5" customHeight="1" hidden="1">
      <c r="A60" s="34" t="s">
        <v>61</v>
      </c>
      <c r="B60" s="16">
        <f t="shared" si="3"/>
        <v>757333</v>
      </c>
      <c r="C60" s="16">
        <v>288769</v>
      </c>
      <c r="D60" s="16">
        <v>468564</v>
      </c>
      <c r="E60" s="20">
        <f>C60/963898*1000</f>
        <v>299.584603350147</v>
      </c>
      <c r="F60" s="20">
        <f>D60/963898*1000</f>
        <v>486.11367592836586</v>
      </c>
      <c r="G60" s="21">
        <f>C60/306729</f>
        <v>0.9414466842065797</v>
      </c>
      <c r="H60" s="22">
        <f>D60/306729</f>
        <v>1.5276155824848645</v>
      </c>
    </row>
    <row r="61" spans="1:8" ht="22.5" customHeight="1" hidden="1">
      <c r="A61" s="34" t="s">
        <v>62</v>
      </c>
      <c r="B61" s="16">
        <f t="shared" si="3"/>
        <v>764592</v>
      </c>
      <c r="C61" s="16">
        <v>291732</v>
      </c>
      <c r="D61" s="16">
        <v>472860</v>
      </c>
      <c r="E61" s="20">
        <f>C61/965790*1000</f>
        <v>302.0656664492281</v>
      </c>
      <c r="F61" s="20">
        <f>D61/965790*1000</f>
        <v>489.60954244711587</v>
      </c>
      <c r="G61" s="21">
        <f>C61/307505</f>
        <v>0.9487065250971529</v>
      </c>
      <c r="H61" s="22">
        <f>D61/307505</f>
        <v>1.5377310938033528</v>
      </c>
    </row>
    <row r="62" spans="1:8" ht="22.5" customHeight="1">
      <c r="A62" s="23" t="s">
        <v>109</v>
      </c>
      <c r="B62" s="24">
        <f t="shared" si="3"/>
        <v>785766</v>
      </c>
      <c r="C62" s="24">
        <v>298942</v>
      </c>
      <c r="D62" s="24">
        <v>486824</v>
      </c>
      <c r="E62" s="38">
        <f>C62/983694*1000</f>
        <v>303.89735019223457</v>
      </c>
      <c r="F62" s="38">
        <f>D62/983694*1000</f>
        <v>494.8937372800891</v>
      </c>
      <c r="G62" s="32">
        <f>C62/317310</f>
        <v>0.9421133906904919</v>
      </c>
      <c r="H62" s="36">
        <f>D62/317310</f>
        <v>1.5342220541426366</v>
      </c>
    </row>
    <row r="63" spans="1:8" ht="22.5" customHeight="1" hidden="1">
      <c r="A63" s="34" t="s">
        <v>34</v>
      </c>
      <c r="B63" s="16">
        <f aca="true" t="shared" si="4" ref="B63:B74">SUM(C63+D63)</f>
        <v>766735</v>
      </c>
      <c r="C63" s="16">
        <v>293172</v>
      </c>
      <c r="D63" s="16">
        <v>473563</v>
      </c>
      <c r="E63" s="20">
        <f>C63/967116*1000</f>
        <v>303.14047125680895</v>
      </c>
      <c r="F63" s="20">
        <f>D63/967116*1000</f>
        <v>489.6651487515458</v>
      </c>
      <c r="G63" s="21">
        <f>C63/308075</f>
        <v>0.9516254158889881</v>
      </c>
      <c r="H63" s="22">
        <f>D63/308075</f>
        <v>1.5371678974275744</v>
      </c>
    </row>
    <row r="64" spans="1:8" ht="22.5" customHeight="1" hidden="1">
      <c r="A64" s="34" t="s">
        <v>35</v>
      </c>
      <c r="B64" s="16">
        <f t="shared" si="4"/>
        <v>768323</v>
      </c>
      <c r="C64" s="16">
        <v>293325</v>
      </c>
      <c r="D64" s="16">
        <v>474998</v>
      </c>
      <c r="E64" s="20">
        <f>C64/969077*1000</f>
        <v>302.68492596563533</v>
      </c>
      <c r="F64" s="20">
        <f>D64/969077*1000</f>
        <v>490.1550650773881</v>
      </c>
      <c r="G64" s="21">
        <f>C64/309267</f>
        <v>0.9484523081997109</v>
      </c>
      <c r="H64" s="22">
        <f>D64/309267</f>
        <v>1.535883233581339</v>
      </c>
    </row>
    <row r="65" spans="1:8" ht="22.5" customHeight="1" hidden="1">
      <c r="A65" s="34" t="s">
        <v>39</v>
      </c>
      <c r="B65" s="16">
        <f t="shared" si="4"/>
        <v>770415</v>
      </c>
      <c r="C65" s="16">
        <v>293800</v>
      </c>
      <c r="D65" s="16">
        <v>476615</v>
      </c>
      <c r="E65" s="20">
        <f>C65/971225*1000</f>
        <v>302.5045689721743</v>
      </c>
      <c r="F65" s="20">
        <f>D65/971225*1000</f>
        <v>490.73592627866867</v>
      </c>
      <c r="G65" s="21">
        <f>C65/310549</f>
        <v>0.9460664822620585</v>
      </c>
      <c r="H65" s="22">
        <f>D65/310549</f>
        <v>1.5347497496369333</v>
      </c>
    </row>
    <row r="66" spans="1:8" ht="22.5" customHeight="1" hidden="1">
      <c r="A66" s="34" t="s">
        <v>40</v>
      </c>
      <c r="B66" s="16">
        <f t="shared" si="4"/>
        <v>772044</v>
      </c>
      <c r="C66" s="16">
        <v>294639</v>
      </c>
      <c r="D66" s="16">
        <v>477405</v>
      </c>
      <c r="E66" s="20">
        <f>C66/973409*1000</f>
        <v>302.68777050551205</v>
      </c>
      <c r="F66" s="20">
        <f>D66/973409*1000</f>
        <v>490.44646186751925</v>
      </c>
      <c r="G66" s="21">
        <f>C66/311713</f>
        <v>0.9452252552829045</v>
      </c>
      <c r="H66" s="22">
        <f>D66/311713</f>
        <v>1.5315530632344496</v>
      </c>
    </row>
    <row r="67" spans="1:8" ht="22.5" customHeight="1" hidden="1">
      <c r="A67" s="34" t="s">
        <v>29</v>
      </c>
      <c r="B67" s="16">
        <f t="shared" si="4"/>
        <v>774504</v>
      </c>
      <c r="C67" s="16">
        <v>296061</v>
      </c>
      <c r="D67" s="16">
        <v>478443</v>
      </c>
      <c r="E67" s="20">
        <f>C67/975169*1000</f>
        <v>303.59968374712486</v>
      </c>
      <c r="F67" s="20">
        <f>D67/975169*1000</f>
        <v>490.6257274380133</v>
      </c>
      <c r="G67" s="21">
        <f>C67/312912</f>
        <v>0.9461477987421384</v>
      </c>
      <c r="H67" s="22">
        <f>D67/312912</f>
        <v>1.5290017640742446</v>
      </c>
    </row>
    <row r="68" spans="1:8" ht="22.5" customHeight="1" hidden="1">
      <c r="A68" s="34" t="s">
        <v>63</v>
      </c>
      <c r="B68" s="16">
        <f t="shared" si="4"/>
        <v>776287</v>
      </c>
      <c r="C68" s="16">
        <v>296637</v>
      </c>
      <c r="D68" s="16">
        <v>479650</v>
      </c>
      <c r="E68" s="20">
        <f>C68/977131*1000</f>
        <v>303.57956098005286</v>
      </c>
      <c r="F68" s="20">
        <f>D68/977131*1000</f>
        <v>490.87583957524635</v>
      </c>
      <c r="G68" s="21">
        <f>C68/314134</f>
        <v>0.9443008397690158</v>
      </c>
      <c r="H68" s="22">
        <f>D68/314134</f>
        <v>1.5268961653307187</v>
      </c>
    </row>
    <row r="69" spans="1:8" ht="22.5" customHeight="1" hidden="1">
      <c r="A69" s="34" t="s">
        <v>64</v>
      </c>
      <c r="B69" s="16">
        <f t="shared" si="4"/>
        <v>777849</v>
      </c>
      <c r="C69" s="16">
        <v>297014</v>
      </c>
      <c r="D69" s="16">
        <v>480835</v>
      </c>
      <c r="E69" s="37">
        <f>C69/978467*1000</f>
        <v>303.55034967965196</v>
      </c>
      <c r="F69" s="37">
        <f>D69/978467*1000</f>
        <v>491.41667526855787</v>
      </c>
      <c r="G69" s="21">
        <f>C69/314816</f>
        <v>0.9434526834722504</v>
      </c>
      <c r="H69" s="22">
        <f>D69/314816</f>
        <v>1.527352485261232</v>
      </c>
    </row>
    <row r="70" spans="1:8" ht="22.5" customHeight="1" hidden="1">
      <c r="A70" s="34" t="s">
        <v>65</v>
      </c>
      <c r="B70" s="16">
        <f t="shared" si="4"/>
        <v>780699</v>
      </c>
      <c r="C70" s="16">
        <v>297802</v>
      </c>
      <c r="D70" s="16">
        <v>482897</v>
      </c>
      <c r="E70" s="37">
        <f>C70/979744*1000</f>
        <v>303.95899336969654</v>
      </c>
      <c r="F70" s="37">
        <f>D70/979744*1000</f>
        <v>492.8807933500996</v>
      </c>
      <c r="G70" s="21">
        <f>C70/315452</f>
        <v>0.9440485398729442</v>
      </c>
      <c r="H70" s="22">
        <f>D70/315452</f>
        <v>1.5308097586954592</v>
      </c>
    </row>
    <row r="71" spans="1:8" ht="22.5" customHeight="1" hidden="1">
      <c r="A71" s="34" t="s">
        <v>66</v>
      </c>
      <c r="B71" s="16">
        <f t="shared" si="4"/>
        <v>782444</v>
      </c>
      <c r="C71" s="16">
        <v>298055</v>
      </c>
      <c r="D71" s="16">
        <v>484389</v>
      </c>
      <c r="E71" s="37">
        <f>C71/980546*1000</f>
        <v>303.96840127847133</v>
      </c>
      <c r="F71" s="37">
        <f>D71/980546*1000</f>
        <v>493.9992616358641</v>
      </c>
      <c r="G71" s="21">
        <f>C71/315981</f>
        <v>0.9432687408420126</v>
      </c>
      <c r="H71" s="22">
        <f>D71/315981</f>
        <v>1.5329687544504258</v>
      </c>
    </row>
    <row r="72" spans="1:8" ht="22.5" customHeight="1" hidden="1">
      <c r="A72" s="34" t="s">
        <v>67</v>
      </c>
      <c r="B72" s="16">
        <f t="shared" si="4"/>
        <v>783529</v>
      </c>
      <c r="C72" s="16">
        <v>298083</v>
      </c>
      <c r="D72" s="16">
        <v>485446</v>
      </c>
      <c r="E72" s="37">
        <f>C72/981612*1000</f>
        <v>303.6668255889292</v>
      </c>
      <c r="F72" s="37">
        <f>D72/981612*1000</f>
        <v>494.53959405549244</v>
      </c>
      <c r="G72" s="21">
        <f>C72/316209</f>
        <v>0.9426771534017059</v>
      </c>
      <c r="H72" s="22">
        <f>D72/316209</f>
        <v>1.5352061453026322</v>
      </c>
    </row>
    <row r="73" spans="1:8" ht="22.5" customHeight="1" hidden="1">
      <c r="A73" s="34" t="s">
        <v>68</v>
      </c>
      <c r="B73" s="16">
        <f t="shared" si="4"/>
        <v>785356</v>
      </c>
      <c r="C73" s="16">
        <v>298927</v>
      </c>
      <c r="D73" s="16">
        <v>486429</v>
      </c>
      <c r="E73" s="37">
        <f>C73/982412*1000</f>
        <v>304.2786529480503</v>
      </c>
      <c r="F73" s="37">
        <f>D73/982412*1000</f>
        <v>495.1374779624028</v>
      </c>
      <c r="G73" s="21">
        <f>C73/316541</f>
        <v>0.9443547597309669</v>
      </c>
      <c r="H73" s="22">
        <f>D73/316541</f>
        <v>1.5367014067687914</v>
      </c>
    </row>
    <row r="74" spans="1:8" ht="22.5" customHeight="1" hidden="1">
      <c r="A74" s="34" t="s">
        <v>69</v>
      </c>
      <c r="B74" s="16">
        <f t="shared" si="4"/>
        <v>785766</v>
      </c>
      <c r="C74" s="16">
        <v>298942</v>
      </c>
      <c r="D74" s="16">
        <v>486824</v>
      </c>
      <c r="E74" s="37">
        <f>C74/983694*1000</f>
        <v>303.89735019223457</v>
      </c>
      <c r="F74" s="37">
        <f>D74/983694*1000</f>
        <v>494.8937372800891</v>
      </c>
      <c r="G74" s="21">
        <f>C74/317310</f>
        <v>0.9421133906904919</v>
      </c>
      <c r="H74" s="22">
        <f>D74/317310</f>
        <v>1.5342220541426366</v>
      </c>
    </row>
    <row r="75" spans="1:8" ht="22.5" customHeight="1">
      <c r="A75" s="23" t="s">
        <v>110</v>
      </c>
      <c r="B75" s="24">
        <v>813475</v>
      </c>
      <c r="C75" s="24">
        <v>310054</v>
      </c>
      <c r="D75" s="24">
        <v>503421</v>
      </c>
      <c r="E75" s="38">
        <v>311.08</v>
      </c>
      <c r="F75" s="38">
        <v>505.08474916374536</v>
      </c>
      <c r="G75" s="32">
        <v>0.9543</v>
      </c>
      <c r="H75" s="36">
        <v>1.5494549125582484</v>
      </c>
    </row>
    <row r="76" spans="1:8" ht="22.5" customHeight="1" hidden="1">
      <c r="A76" s="34" t="s">
        <v>34</v>
      </c>
      <c r="B76" s="16">
        <f>SUM(C76+D76)</f>
        <v>788056</v>
      </c>
      <c r="C76" s="16">
        <v>300147</v>
      </c>
      <c r="D76" s="16">
        <v>487909</v>
      </c>
      <c r="E76" s="39">
        <f>C76/984236*1000</f>
        <v>304.95429957855634</v>
      </c>
      <c r="F76" s="39">
        <f>D76/984236*1000</f>
        <v>495.7235866194693</v>
      </c>
      <c r="G76" s="21">
        <f>C76/317813</f>
        <v>0.9444138534295324</v>
      </c>
      <c r="H76" s="22">
        <f>D76/317813</f>
        <v>1.5352078108825</v>
      </c>
    </row>
    <row r="77" spans="1:8" ht="22.5" customHeight="1" hidden="1">
      <c r="A77" s="34" t="s">
        <v>70</v>
      </c>
      <c r="B77" s="16">
        <f>SUM(C77+D77)</f>
        <v>789654</v>
      </c>
      <c r="C77" s="16">
        <v>300546</v>
      </c>
      <c r="D77" s="16">
        <v>489108</v>
      </c>
      <c r="E77" s="40">
        <f>C77/984510*1000</f>
        <v>305.27470518328914</v>
      </c>
      <c r="F77" s="40">
        <f>D77/984510*1000</f>
        <v>496.8034859981108</v>
      </c>
      <c r="G77" s="41">
        <f>C77/318069</f>
        <v>0.9449081803005008</v>
      </c>
      <c r="H77" s="42">
        <f>D77/318069</f>
        <v>1.5377418107391791</v>
      </c>
    </row>
    <row r="78" spans="1:8" ht="22.5" customHeight="1" hidden="1">
      <c r="A78" s="34" t="s">
        <v>71</v>
      </c>
      <c r="B78" s="16">
        <f>SUM(C78+D78)</f>
        <v>792356</v>
      </c>
      <c r="C78" s="16">
        <v>301447</v>
      </c>
      <c r="D78" s="16">
        <v>490909</v>
      </c>
      <c r="E78" s="40">
        <f>C78/985845*1000</f>
        <v>305.7752486445638</v>
      </c>
      <c r="F78" s="40">
        <f>D78/985845*1000</f>
        <v>497.957589681948</v>
      </c>
      <c r="G78" s="41">
        <f>C78/318997</f>
        <v>0.9449838086251595</v>
      </c>
      <c r="H78" s="42">
        <f>D78/318997</f>
        <v>1.5389141590673268</v>
      </c>
    </row>
    <row r="79" spans="1:8" ht="22.5" customHeight="1" hidden="1">
      <c r="A79" s="34" t="s">
        <v>72</v>
      </c>
      <c r="B79" s="16">
        <f>SUM(C79+D79)</f>
        <v>794875</v>
      </c>
      <c r="C79" s="16">
        <v>302494</v>
      </c>
      <c r="D79" s="16">
        <v>492381</v>
      </c>
      <c r="E79" s="40">
        <f>C79/987394*1000</f>
        <v>306.35592276234206</v>
      </c>
      <c r="F79" s="40">
        <f>D79/987394*1000</f>
        <v>498.66719870689917</v>
      </c>
      <c r="G79" s="41">
        <f>C79/319549</f>
        <v>0.9466279037017797</v>
      </c>
      <c r="H79" s="42">
        <f>D79/319549</f>
        <v>1.5408622777727359</v>
      </c>
    </row>
    <row r="80" spans="1:8" ht="22.5" customHeight="1" hidden="1">
      <c r="A80" s="34" t="s">
        <v>73</v>
      </c>
      <c r="B80" s="16">
        <f>SUM(C80+D80)</f>
        <v>797567</v>
      </c>
      <c r="C80" s="16">
        <v>303643</v>
      </c>
      <c r="D80" s="16">
        <v>493924</v>
      </c>
      <c r="E80" s="40">
        <f>C80/988632*1000</f>
        <v>307.1345050534476</v>
      </c>
      <c r="F80" s="40">
        <f>D80/988632*1000</f>
        <v>499.60349250277153</v>
      </c>
      <c r="G80" s="41">
        <f>C80/320184</f>
        <v>0.9483390800289834</v>
      </c>
      <c r="H80" s="42">
        <f>D80/320184</f>
        <v>1.5426254903430527</v>
      </c>
    </row>
    <row r="81" spans="1:8" ht="22.5" customHeight="1" hidden="1">
      <c r="A81" s="34" t="s">
        <v>74</v>
      </c>
      <c r="B81" s="16">
        <f aca="true" t="shared" si="5" ref="B81:B88">SUM(C81+D81)</f>
        <v>800587</v>
      </c>
      <c r="C81" s="16">
        <v>304752</v>
      </c>
      <c r="D81" s="16">
        <v>495835</v>
      </c>
      <c r="E81" s="40">
        <f>C81/990041*1000</f>
        <v>307.8175550305493</v>
      </c>
      <c r="F81" s="40">
        <f>D81/990041*1000</f>
        <v>500.8226932015947</v>
      </c>
      <c r="G81" s="41">
        <f>C81/321184</f>
        <v>0.9488392946099432</v>
      </c>
      <c r="H81" s="42">
        <f>D81/321184</f>
        <v>1.5437724170568896</v>
      </c>
    </row>
    <row r="82" spans="1:8" ht="22.5" customHeight="1" hidden="1">
      <c r="A82" s="34" t="s">
        <v>75</v>
      </c>
      <c r="B82" s="16">
        <f t="shared" si="5"/>
        <v>803867</v>
      </c>
      <c r="C82" s="16">
        <v>306343</v>
      </c>
      <c r="D82" s="16">
        <v>497524</v>
      </c>
      <c r="E82" s="40">
        <f>C82/991187*1000</f>
        <v>309.06680575915544</v>
      </c>
      <c r="F82" s="40">
        <f>D82/991187*1000</f>
        <v>501.9476647696146</v>
      </c>
      <c r="G82" s="41">
        <f>C82/321823</f>
        <v>0.9518990252405826</v>
      </c>
      <c r="H82" s="42">
        <f>D82/321823</f>
        <v>1.5459553854137211</v>
      </c>
    </row>
    <row r="83" spans="1:8" ht="22.5" customHeight="1" hidden="1">
      <c r="A83" s="34" t="s">
        <v>76</v>
      </c>
      <c r="B83" s="16">
        <f t="shared" si="5"/>
        <v>805972</v>
      </c>
      <c r="C83" s="16">
        <v>307118</v>
      </c>
      <c r="D83" s="16">
        <v>498854</v>
      </c>
      <c r="E83" s="40">
        <f>C83/992243*1000</f>
        <v>309.5189384052092</v>
      </c>
      <c r="F83" s="40">
        <f>D83/992243*1000</f>
        <v>502.75386170524763</v>
      </c>
      <c r="G83" s="41">
        <f>C83/322639</f>
        <v>0.9518936024473172</v>
      </c>
      <c r="H83" s="42">
        <f>D83/322639</f>
        <v>1.546167698263384</v>
      </c>
    </row>
    <row r="84" spans="1:8" ht="22.5" customHeight="1" hidden="1">
      <c r="A84" s="34" t="s">
        <v>77</v>
      </c>
      <c r="B84" s="16">
        <f t="shared" si="5"/>
        <v>808333</v>
      </c>
      <c r="C84" s="16">
        <v>308460</v>
      </c>
      <c r="D84" s="16">
        <v>499873</v>
      </c>
      <c r="E84" s="40">
        <f>C84/993305*1000</f>
        <v>310.53905900000507</v>
      </c>
      <c r="F84" s="40">
        <f>D84/993305*1000</f>
        <v>503.24220657300623</v>
      </c>
      <c r="G84" s="41">
        <f>C84/323258</f>
        <v>0.9542223239641401</v>
      </c>
      <c r="H84" s="42">
        <f>D84/323258</f>
        <v>1.546359254836694</v>
      </c>
    </row>
    <row r="85" spans="1:8" ht="22.5" customHeight="1" hidden="1">
      <c r="A85" s="34" t="s">
        <v>78</v>
      </c>
      <c r="B85" s="16">
        <f t="shared" si="5"/>
        <v>811167</v>
      </c>
      <c r="C85" s="16">
        <v>309671</v>
      </c>
      <c r="D85" s="16">
        <v>501496</v>
      </c>
      <c r="E85" s="40">
        <f>C85/994446*1000</f>
        <v>311.4005184796359</v>
      </c>
      <c r="F85" s="40">
        <f>D85/994446*1000</f>
        <v>504.2968647870272</v>
      </c>
      <c r="G85" s="41">
        <f>C85/323672</f>
        <v>0.9567432462492894</v>
      </c>
      <c r="H85" s="42">
        <f>D85/323672</f>
        <v>1.5493956845201315</v>
      </c>
    </row>
    <row r="86" spans="1:8" ht="22.5" customHeight="1" hidden="1">
      <c r="A86" s="34" t="s">
        <v>79</v>
      </c>
      <c r="B86" s="16">
        <f t="shared" si="5"/>
        <v>811634</v>
      </c>
      <c r="C86" s="16">
        <v>308826</v>
      </c>
      <c r="D86" s="16">
        <v>502808</v>
      </c>
      <c r="E86" s="40">
        <f>C86/995481*1000</f>
        <v>310.22791997034597</v>
      </c>
      <c r="F86" s="40">
        <f>D86/995481*1000</f>
        <v>505.09050398751964</v>
      </c>
      <c r="G86" s="41">
        <f>C86/324206</f>
        <v>0.9525610260143242</v>
      </c>
      <c r="H86" s="42">
        <f>D86/324206</f>
        <v>1.5508904832112915</v>
      </c>
    </row>
    <row r="87" spans="1:8" ht="22.5" customHeight="1" hidden="1">
      <c r="A87" s="34" t="s">
        <v>80</v>
      </c>
      <c r="B87" s="16">
        <f t="shared" si="5"/>
        <v>813475</v>
      </c>
      <c r="C87" s="16">
        <v>310054</v>
      </c>
      <c r="D87" s="16">
        <v>503421</v>
      </c>
      <c r="E87" s="40">
        <f>C87/996706*1000</f>
        <v>311.07869321545166</v>
      </c>
      <c r="F87" s="40">
        <f>D87/996706*1000</f>
        <v>505.08474916374536</v>
      </c>
      <c r="G87" s="41">
        <f>C87/324902</f>
        <v>0.954300065866015</v>
      </c>
      <c r="H87" s="42">
        <f>D87/324902</f>
        <v>1.5494549125582484</v>
      </c>
    </row>
    <row r="88" spans="1:8" ht="22.5" customHeight="1">
      <c r="A88" s="23" t="s">
        <v>111</v>
      </c>
      <c r="B88" s="24">
        <f t="shared" si="5"/>
        <v>842524</v>
      </c>
      <c r="C88" s="24">
        <v>322425</v>
      </c>
      <c r="D88" s="24">
        <v>520099</v>
      </c>
      <c r="E88" s="38">
        <f>C88/1009387*1000</f>
        <v>319.42654304047903</v>
      </c>
      <c r="F88" s="38">
        <f>D88/1009387*1000</f>
        <v>515.262233414934</v>
      </c>
      <c r="G88" s="32">
        <f>C88/332772</f>
        <v>0.9689066387797051</v>
      </c>
      <c r="H88" s="36">
        <f>D88/332772</f>
        <v>1.562928972389504</v>
      </c>
    </row>
    <row r="89" spans="1:8" ht="22.5" customHeight="1" hidden="1">
      <c r="A89" s="34" t="s">
        <v>34</v>
      </c>
      <c r="B89" s="16">
        <f>SUM(C89+D89)</f>
        <v>815996</v>
      </c>
      <c r="C89" s="16">
        <v>311995</v>
      </c>
      <c r="D89" s="16">
        <v>504001</v>
      </c>
      <c r="E89" s="40">
        <f>C89/997476*1000</f>
        <v>312.78446799722497</v>
      </c>
      <c r="F89" s="40">
        <f>D89/997476*1000</f>
        <v>505.2763174251812</v>
      </c>
      <c r="G89" s="41">
        <f>C89/325382</f>
        <v>0.9588575889262467</v>
      </c>
      <c r="H89" s="42">
        <f>D89/325382</f>
        <v>1.5489516937015568</v>
      </c>
    </row>
    <row r="90" spans="1:8" ht="22.5" customHeight="1" hidden="1">
      <c r="A90" s="34" t="s">
        <v>70</v>
      </c>
      <c r="B90" s="16">
        <f>SUM(C90+D90)</f>
        <v>816953</v>
      </c>
      <c r="C90" s="16">
        <v>312026</v>
      </c>
      <c r="D90" s="16">
        <v>504927</v>
      </c>
      <c r="E90" s="40">
        <f>C90/998156*1000</f>
        <v>312.6024388973267</v>
      </c>
      <c r="F90" s="40">
        <f>D90/998156*1000</f>
        <v>505.8598054813075</v>
      </c>
      <c r="G90" s="41">
        <f>C90/325881</f>
        <v>0.9574844805312369</v>
      </c>
      <c r="H90" s="42">
        <f>D90/325881</f>
        <v>1.5494214145654395</v>
      </c>
    </row>
    <row r="91" spans="1:8" ht="22.5" customHeight="1" hidden="1">
      <c r="A91" s="34" t="s">
        <v>71</v>
      </c>
      <c r="B91" s="16">
        <f>SUM(C91+D91)</f>
        <v>818569</v>
      </c>
      <c r="C91" s="16">
        <v>312898</v>
      </c>
      <c r="D91" s="16">
        <v>505671</v>
      </c>
      <c r="E91" s="40">
        <f>C91/999476*1000</f>
        <v>313.0620445113239</v>
      </c>
      <c r="F91" s="40">
        <f>D91/999476*1000</f>
        <v>505.93611052191346</v>
      </c>
      <c r="G91" s="41">
        <f>C91/326714</f>
        <v>0.9577122498576737</v>
      </c>
      <c r="H91" s="42">
        <f>D91/326714</f>
        <v>1.547748183426483</v>
      </c>
    </row>
    <row r="92" spans="1:8" ht="22.5" customHeight="1" hidden="1">
      <c r="A92" s="34" t="s">
        <v>72</v>
      </c>
      <c r="B92" s="16">
        <f>SUM(C92+D92)</f>
        <v>820509</v>
      </c>
      <c r="C92" s="16">
        <v>313875</v>
      </c>
      <c r="D92" s="16">
        <v>506634</v>
      </c>
      <c r="E92" s="40">
        <f>C92/1001053*1000</f>
        <v>313.5448372863375</v>
      </c>
      <c r="F92" s="40">
        <f>D92/1001053*1000</f>
        <v>506.1010755674275</v>
      </c>
      <c r="G92" s="41">
        <f>C92/327487</f>
        <v>0.9584349913126322</v>
      </c>
      <c r="H92" s="42">
        <f>D92/327487</f>
        <v>1.5470354548424823</v>
      </c>
    </row>
    <row r="93" spans="1:8" ht="22.5" customHeight="1" hidden="1">
      <c r="A93" s="34" t="s">
        <v>81</v>
      </c>
      <c r="B93" s="16">
        <f>SUM(C93+D93)</f>
        <v>823288</v>
      </c>
      <c r="C93" s="16">
        <v>314443</v>
      </c>
      <c r="D93" s="16">
        <v>508845</v>
      </c>
      <c r="E93" s="40">
        <f>C93/1001882*1000</f>
        <v>313.85232991509974</v>
      </c>
      <c r="F93" s="40">
        <f>D93/1001882*1000</f>
        <v>507.88915261477894</v>
      </c>
      <c r="G93" s="41">
        <f>C93/328089</f>
        <v>0.9584076271987174</v>
      </c>
      <c r="H93" s="42">
        <f>D93/328089</f>
        <v>1.5509358741073307</v>
      </c>
    </row>
    <row r="94" spans="1:8" ht="22.5" customHeight="1" hidden="1">
      <c r="A94" s="34" t="s">
        <v>63</v>
      </c>
      <c r="B94" s="16">
        <f aca="true" t="shared" si="6" ref="B94:B101">SUM(C94+D94)</f>
        <v>826862</v>
      </c>
      <c r="C94" s="16">
        <v>315625</v>
      </c>
      <c r="D94" s="16">
        <v>511237</v>
      </c>
      <c r="E94" s="40">
        <f>C94/1003272*1000</f>
        <v>314.595643055921</v>
      </c>
      <c r="F94" s="40">
        <f>D94/1003272*1000</f>
        <v>509.5696879809264</v>
      </c>
      <c r="G94" s="41">
        <f>C94/329082</f>
        <v>0.9591074565002036</v>
      </c>
      <c r="H94" s="42">
        <f>D94/329082</f>
        <v>1.5535246534298441</v>
      </c>
    </row>
    <row r="95" spans="1:8" ht="22.5" customHeight="1" hidden="1">
      <c r="A95" s="34" t="s">
        <v>82</v>
      </c>
      <c r="B95" s="16">
        <f t="shared" si="6"/>
        <v>830632</v>
      </c>
      <c r="C95" s="16">
        <v>317771</v>
      </c>
      <c r="D95" s="16">
        <v>512861</v>
      </c>
      <c r="E95" s="40">
        <f>C95/1004522*1000</f>
        <v>316.3405082218209</v>
      </c>
      <c r="F95" s="40">
        <f>D95/1004522*1000</f>
        <v>510.5522825781814</v>
      </c>
      <c r="G95" s="41">
        <f>C95/329802</f>
        <v>0.9635205365643629</v>
      </c>
      <c r="H95" s="42">
        <f>D95/329802</f>
        <v>1.5550572767903166</v>
      </c>
    </row>
    <row r="96" spans="1:8" ht="22.5" customHeight="1" hidden="1">
      <c r="A96" s="34" t="s">
        <v>83</v>
      </c>
      <c r="B96" s="16">
        <f t="shared" si="6"/>
        <v>832358</v>
      </c>
      <c r="C96" s="16">
        <v>318389</v>
      </c>
      <c r="D96" s="16">
        <v>513969</v>
      </c>
      <c r="E96" s="40">
        <f>C96/1005564*1000</f>
        <v>316.62728578190945</v>
      </c>
      <c r="F96" s="40">
        <f>D96/1005564*1000</f>
        <v>511.12509994391206</v>
      </c>
      <c r="G96" s="41">
        <f>C96/330412</f>
        <v>0.9636120964129632</v>
      </c>
      <c r="H96" s="42">
        <f>D96/330412</f>
        <v>1.5555397503722626</v>
      </c>
    </row>
    <row r="97" spans="1:8" ht="22.5" customHeight="1" hidden="1">
      <c r="A97" s="34" t="s">
        <v>84</v>
      </c>
      <c r="B97" s="16">
        <f t="shared" si="6"/>
        <v>835189</v>
      </c>
      <c r="C97" s="16">
        <v>319403</v>
      </c>
      <c r="D97" s="16">
        <v>515786</v>
      </c>
      <c r="E97" s="40">
        <f>C97/1006667*1000</f>
        <v>317.2876432822373</v>
      </c>
      <c r="F97" s="40">
        <f>D97/1006667*1000</f>
        <v>512.3700290165467</v>
      </c>
      <c r="G97" s="41">
        <f>C97/331153</f>
        <v>0.9645179116601692</v>
      </c>
      <c r="H97" s="42">
        <f>D97/331153</f>
        <v>1.5575459077828073</v>
      </c>
    </row>
    <row r="98" spans="1:8" ht="22.5" customHeight="1" hidden="1">
      <c r="A98" s="34" t="s">
        <v>85</v>
      </c>
      <c r="B98" s="16">
        <f t="shared" si="6"/>
        <v>838381</v>
      </c>
      <c r="C98" s="16">
        <v>320748</v>
      </c>
      <c r="D98" s="16">
        <v>517633</v>
      </c>
      <c r="E98" s="40">
        <f>C98/1007659*1000</f>
        <v>318.31006322575394</v>
      </c>
      <c r="F98" s="40">
        <f>D98/1007659*1000</f>
        <v>513.698582556202</v>
      </c>
      <c r="G98" s="41">
        <f>C98/331683</f>
        <v>0.9670317743146317</v>
      </c>
      <c r="H98" s="42">
        <f>D98/331683</f>
        <v>1.5606256576309308</v>
      </c>
    </row>
    <row r="99" spans="1:8" ht="22.5" customHeight="1" hidden="1">
      <c r="A99" s="34" t="s">
        <v>86</v>
      </c>
      <c r="B99" s="16">
        <f t="shared" si="6"/>
        <v>840780</v>
      </c>
      <c r="C99" s="16">
        <v>321699</v>
      </c>
      <c r="D99" s="16">
        <v>519081</v>
      </c>
      <c r="E99" s="40">
        <f>C99/1008442*1000</f>
        <v>319.0059517552819</v>
      </c>
      <c r="F99" s="40">
        <f>D99/1008442*1000</f>
        <v>514.7356020475149</v>
      </c>
      <c r="G99" s="41">
        <f>C99/332204</f>
        <v>0.9683778642039229</v>
      </c>
      <c r="H99" s="42">
        <f>D99/332204</f>
        <v>1.5625368749322706</v>
      </c>
    </row>
    <row r="100" spans="1:8" ht="22.5" customHeight="1" hidden="1">
      <c r="A100" s="34" t="s">
        <v>87</v>
      </c>
      <c r="B100" s="16">
        <f t="shared" si="6"/>
        <v>842524</v>
      </c>
      <c r="C100" s="16">
        <v>322425</v>
      </c>
      <c r="D100" s="16">
        <v>520099</v>
      </c>
      <c r="E100" s="40">
        <f>C100/1009387*1000</f>
        <v>319.42654304047903</v>
      </c>
      <c r="F100" s="40">
        <f>D100/1009387*1000</f>
        <v>515.262233414934</v>
      </c>
      <c r="G100" s="41">
        <f>C100/332772</f>
        <v>0.9689066387797051</v>
      </c>
      <c r="H100" s="42">
        <f>D100/332772</f>
        <v>1.562928972389504</v>
      </c>
    </row>
    <row r="101" spans="1:8" ht="22.5" customHeight="1">
      <c r="A101" s="23" t="s">
        <v>112</v>
      </c>
      <c r="B101" s="24">
        <f t="shared" si="6"/>
        <v>878983</v>
      </c>
      <c r="C101" s="24">
        <v>337945</v>
      </c>
      <c r="D101" s="24">
        <v>541038</v>
      </c>
      <c r="E101" s="38">
        <f>C101/1021292*1000</f>
        <v>330.89948809938784</v>
      </c>
      <c r="F101" s="38">
        <f>D101/1021292*1000</f>
        <v>529.7583844777008</v>
      </c>
      <c r="G101" s="32">
        <f>C101/339730</f>
        <v>0.9947458275689518</v>
      </c>
      <c r="H101" s="36">
        <f>D101/339730</f>
        <v>1.5925529096635564</v>
      </c>
    </row>
    <row r="102" spans="1:8" ht="22.5" customHeight="1" hidden="1">
      <c r="A102" s="34" t="s">
        <v>88</v>
      </c>
      <c r="B102" s="16">
        <f>SUM(C102+D102)</f>
        <v>846072</v>
      </c>
      <c r="C102" s="16">
        <v>324919</v>
      </c>
      <c r="D102" s="16">
        <v>521153</v>
      </c>
      <c r="E102" s="40">
        <f>C102/1009921*1000</f>
        <v>321.7271449945095</v>
      </c>
      <c r="F102" s="40">
        <f>D102/1009921*1000</f>
        <v>516.0334323179734</v>
      </c>
      <c r="G102" s="41">
        <f>C102/333069</f>
        <v>0.9755305957624396</v>
      </c>
      <c r="H102" s="42">
        <f>D102/333069</f>
        <v>1.564699806946909</v>
      </c>
    </row>
    <row r="103" spans="1:8" ht="22.5" customHeight="1" hidden="1">
      <c r="A103" s="34" t="s">
        <v>70</v>
      </c>
      <c r="B103" s="16">
        <f>SUM(C103+D103)</f>
        <v>847665</v>
      </c>
      <c r="C103" s="16">
        <v>325232</v>
      </c>
      <c r="D103" s="16">
        <v>522433</v>
      </c>
      <c r="E103" s="40">
        <f>C103/1010612*1000</f>
        <v>321.8168792771113</v>
      </c>
      <c r="F103" s="40">
        <f>D103/1010612*1000</f>
        <v>516.947156772332</v>
      </c>
      <c r="G103" s="41">
        <f>C103/333560</f>
        <v>0.9750329775752489</v>
      </c>
      <c r="H103" s="42">
        <f>D103/333560</f>
        <v>1.5662339609065836</v>
      </c>
    </row>
    <row r="104" spans="1:8" ht="22.5" customHeight="1" hidden="1">
      <c r="A104" s="34" t="s">
        <v>89</v>
      </c>
      <c r="B104" s="16">
        <f>SUM(C104+D104)</f>
        <v>851143</v>
      </c>
      <c r="C104" s="16">
        <v>326672</v>
      </c>
      <c r="D104" s="16">
        <v>524471</v>
      </c>
      <c r="E104" s="40">
        <f>C104/1011613*1000</f>
        <v>322.9219078837461</v>
      </c>
      <c r="F104" s="40">
        <f>D104/1011613*1000</f>
        <v>518.4502373931533</v>
      </c>
      <c r="G104" s="41">
        <f>C104/333984</f>
        <v>0.9781067356520072</v>
      </c>
      <c r="H104" s="42">
        <f>D104/333984</f>
        <v>1.5703476813260515</v>
      </c>
    </row>
    <row r="105" spans="1:8" ht="22.5" customHeight="1" hidden="1">
      <c r="A105" s="34" t="s">
        <v>90</v>
      </c>
      <c r="B105" s="16">
        <f>SUM(C105+D105)</f>
        <v>853829</v>
      </c>
      <c r="C105" s="16">
        <v>327769</v>
      </c>
      <c r="D105" s="16">
        <v>526060</v>
      </c>
      <c r="E105" s="40">
        <f>C105/1012846*1000</f>
        <v>323.6118817668234</v>
      </c>
      <c r="F105" s="40">
        <f>D105/1012846*1000</f>
        <v>519.3879424907637</v>
      </c>
      <c r="G105" s="41">
        <f>C105/334772</f>
        <v>0.9790812851731925</v>
      </c>
      <c r="H105" s="42">
        <f>D105/334772</f>
        <v>1.5713978468928107</v>
      </c>
    </row>
    <row r="106" spans="1:8" ht="22.5" customHeight="1" hidden="1">
      <c r="A106" s="34" t="s">
        <v>73</v>
      </c>
      <c r="B106" s="16">
        <f>SUM(C106+D106)</f>
        <v>856823</v>
      </c>
      <c r="C106" s="16">
        <v>329117</v>
      </c>
      <c r="D106" s="16">
        <v>527706</v>
      </c>
      <c r="E106" s="40">
        <f>C106/1014080*1000</f>
        <v>324.54737298832435</v>
      </c>
      <c r="F106" s="40">
        <f>D106/1014080*1000</f>
        <v>520.3790627958347</v>
      </c>
      <c r="G106" s="41">
        <f>C106/335531</f>
        <v>0.9808840315797944</v>
      </c>
      <c r="H106" s="42">
        <f>D106/335531</f>
        <v>1.5727488667217038</v>
      </c>
    </row>
    <row r="107" spans="1:8" ht="22.5" customHeight="1" hidden="1">
      <c r="A107" s="34" t="s">
        <v>74</v>
      </c>
      <c r="B107" s="16">
        <f aca="true" t="shared" si="7" ref="B107:B113">SUM(C107+D107)</f>
        <v>860133</v>
      </c>
      <c r="C107" s="16">
        <v>330533</v>
      </c>
      <c r="D107" s="16">
        <v>529600</v>
      </c>
      <c r="E107" s="40">
        <f>C107/1015440*1000</f>
        <v>325.50716930591665</v>
      </c>
      <c r="F107" s="40">
        <f>D107/1015440*1000</f>
        <v>521.5473095406917</v>
      </c>
      <c r="G107" s="41">
        <f>C107/336529</f>
        <v>0.9821828133682386</v>
      </c>
      <c r="H107" s="42">
        <f>D107/336529</f>
        <v>1.5737128152402913</v>
      </c>
    </row>
    <row r="108" spans="1:8" ht="22.5" customHeight="1" hidden="1">
      <c r="A108" s="34" t="s">
        <v>91</v>
      </c>
      <c r="B108" s="16">
        <f t="shared" si="7"/>
        <v>863655</v>
      </c>
      <c r="C108" s="16">
        <v>332640</v>
      </c>
      <c r="D108" s="16">
        <v>531015</v>
      </c>
      <c r="E108" s="40">
        <f>C108/1016520*1000</f>
        <v>327.2340927871562</v>
      </c>
      <c r="F108" s="40">
        <f>D108/1016520*1000</f>
        <v>522.3851965529453</v>
      </c>
      <c r="G108" s="41">
        <f>C108/337128</f>
        <v>0.9866875489428347</v>
      </c>
      <c r="H108" s="42">
        <f>D108/337128</f>
        <v>1.5751139033245534</v>
      </c>
    </row>
    <row r="109" spans="1:8" ht="22.5" customHeight="1" hidden="1">
      <c r="A109" s="34" t="s">
        <v>76</v>
      </c>
      <c r="B109" s="16">
        <f t="shared" si="7"/>
        <v>866691</v>
      </c>
      <c r="C109" s="16">
        <v>333675</v>
      </c>
      <c r="D109" s="16">
        <v>533016</v>
      </c>
      <c r="E109" s="40">
        <f>C109/1017232*1000</f>
        <v>328.02251600421533</v>
      </c>
      <c r="F109" s="40">
        <f>D109/1017232*1000</f>
        <v>523.9866618431194</v>
      </c>
      <c r="G109" s="41">
        <f>C109/337693</f>
        <v>0.988101618926066</v>
      </c>
      <c r="H109" s="42">
        <f>D109/337693</f>
        <v>1.5784040533857675</v>
      </c>
    </row>
    <row r="110" spans="1:8" ht="22.5" customHeight="1" hidden="1">
      <c r="A110" s="34" t="s">
        <v>77</v>
      </c>
      <c r="B110" s="16">
        <f t="shared" si="7"/>
        <v>870153</v>
      </c>
      <c r="C110" s="16">
        <v>334505</v>
      </c>
      <c r="D110" s="16">
        <v>535648</v>
      </c>
      <c r="E110" s="40">
        <f>C110/1018023*1000</f>
        <v>328.58294950114094</v>
      </c>
      <c r="F110" s="40">
        <f>D110/1018023*1000</f>
        <v>526.1649294760531</v>
      </c>
      <c r="G110" s="41">
        <f>C110/338402</f>
        <v>0.9884841106140034</v>
      </c>
      <c r="H110" s="42">
        <f>D110/338402</f>
        <v>1.582874805704458</v>
      </c>
    </row>
    <row r="111" spans="1:8" ht="22.5" customHeight="1" hidden="1">
      <c r="A111" s="34" t="s">
        <v>78</v>
      </c>
      <c r="B111" s="16">
        <f t="shared" si="7"/>
        <v>874049</v>
      </c>
      <c r="C111" s="16">
        <v>335875</v>
      </c>
      <c r="D111" s="16">
        <v>538174</v>
      </c>
      <c r="E111" s="40">
        <f>C111/1018909*1000</f>
        <v>329.6418031443436</v>
      </c>
      <c r="F111" s="40">
        <f>D111/1018909*1000</f>
        <v>528.1865210730301</v>
      </c>
      <c r="G111" s="41">
        <f>C111/338671</f>
        <v>0.9917442001234236</v>
      </c>
      <c r="H111" s="42">
        <f>D111/338671</f>
        <v>1.589076124025972</v>
      </c>
    </row>
    <row r="112" spans="1:8" ht="22.5" customHeight="1" hidden="1">
      <c r="A112" s="34" t="s">
        <v>79</v>
      </c>
      <c r="B112" s="16">
        <f t="shared" si="7"/>
        <v>876909</v>
      </c>
      <c r="C112" s="16">
        <v>337111</v>
      </c>
      <c r="D112" s="16">
        <v>539798</v>
      </c>
      <c r="E112" s="40">
        <f>C112/1020034*1000</f>
        <v>330.4899640600215</v>
      </c>
      <c r="F112" s="40">
        <f>D112/1020034*1000</f>
        <v>529.1960856206755</v>
      </c>
      <c r="G112" s="41">
        <f>C112/339196</f>
        <v>0.9938531114753711</v>
      </c>
      <c r="H112" s="42">
        <f>D112/339196</f>
        <v>1.5914043797686293</v>
      </c>
    </row>
    <row r="113" spans="1:8" ht="22.5" customHeight="1" hidden="1">
      <c r="A113" s="34" t="s">
        <v>80</v>
      </c>
      <c r="B113" s="16">
        <f t="shared" si="7"/>
        <v>878983</v>
      </c>
      <c r="C113" s="16">
        <v>337945</v>
      </c>
      <c r="D113" s="16">
        <v>541038</v>
      </c>
      <c r="E113" s="40">
        <f>C113/1021292*1000</f>
        <v>330.89948809938784</v>
      </c>
      <c r="F113" s="40">
        <f>D113/1021292*1000</f>
        <v>529.7583844777008</v>
      </c>
      <c r="G113" s="41">
        <f>C113/339730</f>
        <v>0.9947458275689518</v>
      </c>
      <c r="H113" s="42">
        <f>D113/339730</f>
        <v>1.5925529096635564</v>
      </c>
    </row>
    <row r="114" spans="1:8" ht="22.5" customHeight="1">
      <c r="A114" s="23" t="s">
        <v>108</v>
      </c>
      <c r="B114" s="24">
        <v>914483</v>
      </c>
      <c r="C114" s="24">
        <v>352472</v>
      </c>
      <c r="D114" s="24">
        <v>562011</v>
      </c>
      <c r="E114" s="46">
        <v>341.29</v>
      </c>
      <c r="F114" s="46">
        <v>544.17</v>
      </c>
      <c r="G114" s="47">
        <v>1.0146</v>
      </c>
      <c r="H114" s="48">
        <v>1.6178</v>
      </c>
    </row>
    <row r="115" spans="1:8" ht="22.5" customHeight="1" hidden="1">
      <c r="A115" s="34" t="s">
        <v>93</v>
      </c>
      <c r="B115" s="16">
        <f aca="true" t="shared" si="8" ref="B115:B152">SUM(C115+D115)</f>
        <v>883495</v>
      </c>
      <c r="C115" s="16">
        <v>340907</v>
      </c>
      <c r="D115" s="16">
        <v>542588</v>
      </c>
      <c r="E115" s="40">
        <f>C115/1022297*1000</f>
        <v>333.47158408955517</v>
      </c>
      <c r="F115" s="40">
        <f>D115/1022297*1000</f>
        <v>530.7537829026203</v>
      </c>
      <c r="G115" s="41">
        <f>C115/340317</f>
        <v>1.0017336777181276</v>
      </c>
      <c r="H115" s="42">
        <f>D115/340317</f>
        <v>1.594360552073508</v>
      </c>
    </row>
    <row r="116" spans="1:8" ht="22.5" customHeight="1" hidden="1">
      <c r="A116" s="34" t="s">
        <v>94</v>
      </c>
      <c r="B116" s="16">
        <f t="shared" si="8"/>
        <v>886069</v>
      </c>
      <c r="C116" s="16">
        <v>341749</v>
      </c>
      <c r="D116" s="16">
        <v>544320</v>
      </c>
      <c r="E116" s="40">
        <v>334.05</v>
      </c>
      <c r="F116" s="40">
        <v>532.06</v>
      </c>
      <c r="G116" s="41">
        <v>1.0029</v>
      </c>
      <c r="H116" s="42">
        <v>1.5974</v>
      </c>
    </row>
    <row r="117" spans="1:8" ht="22.5" customHeight="1" hidden="1">
      <c r="A117" s="34" t="s">
        <v>95</v>
      </c>
      <c r="B117" s="16">
        <f t="shared" si="8"/>
        <v>889326</v>
      </c>
      <c r="C117" s="16">
        <v>343083</v>
      </c>
      <c r="D117" s="16">
        <v>546243</v>
      </c>
      <c r="E117" s="40">
        <v>344.99</v>
      </c>
      <c r="F117" s="40">
        <v>533.35</v>
      </c>
      <c r="G117" s="41">
        <v>1.0047</v>
      </c>
      <c r="H117" s="42">
        <v>1.5996</v>
      </c>
    </row>
    <row r="118" spans="1:8" ht="22.5" customHeight="1" hidden="1">
      <c r="A118" s="34" t="s">
        <v>96</v>
      </c>
      <c r="B118" s="16">
        <f t="shared" si="8"/>
        <v>891236</v>
      </c>
      <c r="C118" s="16">
        <v>344235</v>
      </c>
      <c r="D118" s="16">
        <v>547001</v>
      </c>
      <c r="E118" s="40">
        <v>335.8</v>
      </c>
      <c r="F118" s="40">
        <v>533.6</v>
      </c>
      <c r="G118" s="41">
        <v>1.0062</v>
      </c>
      <c r="H118" s="42">
        <v>1.5989</v>
      </c>
    </row>
    <row r="119" spans="1:8" ht="22.5" customHeight="1" hidden="1">
      <c r="A119" s="34" t="s">
        <v>97</v>
      </c>
      <c r="B119" s="16">
        <f t="shared" si="8"/>
        <v>893785</v>
      </c>
      <c r="C119" s="16">
        <v>345357</v>
      </c>
      <c r="D119" s="16">
        <v>548428</v>
      </c>
      <c r="E119" s="40">
        <v>336.49</v>
      </c>
      <c r="F119" s="40">
        <v>534.34</v>
      </c>
      <c r="G119" s="41">
        <v>1.00695</v>
      </c>
      <c r="H119" s="42">
        <v>1.599</v>
      </c>
    </row>
    <row r="120" spans="1:8" ht="22.5" customHeight="1" hidden="1">
      <c r="A120" s="34" t="s">
        <v>98</v>
      </c>
      <c r="B120" s="16">
        <f t="shared" si="8"/>
        <v>898101</v>
      </c>
      <c r="C120" s="16">
        <v>347215</v>
      </c>
      <c r="D120" s="16">
        <v>550886</v>
      </c>
      <c r="E120" s="40">
        <v>337.9</v>
      </c>
      <c r="F120" s="40">
        <v>536</v>
      </c>
      <c r="G120" s="41">
        <f>347215/344060</f>
        <v>1.009169912224612</v>
      </c>
      <c r="H120" s="42">
        <f>550886/344060</f>
        <v>1.6011335232226938</v>
      </c>
    </row>
    <row r="121" spans="1:8" ht="22.5" customHeight="1" hidden="1">
      <c r="A121" s="34" t="s">
        <v>99</v>
      </c>
      <c r="B121" s="16">
        <f t="shared" si="8"/>
        <v>901995</v>
      </c>
      <c r="C121" s="16">
        <v>349270</v>
      </c>
      <c r="D121" s="16">
        <v>552725</v>
      </c>
      <c r="E121" s="40">
        <v>339.5</v>
      </c>
      <c r="F121" s="40">
        <v>537.3</v>
      </c>
      <c r="G121" s="41">
        <v>1.01335</v>
      </c>
      <c r="H121" s="42">
        <v>1.60364</v>
      </c>
    </row>
    <row r="122" spans="1:8" ht="22.5" customHeight="1" hidden="1">
      <c r="A122" s="34" t="s">
        <v>100</v>
      </c>
      <c r="B122" s="16">
        <f t="shared" si="8"/>
        <v>904628</v>
      </c>
      <c r="C122" s="43">
        <v>349786</v>
      </c>
      <c r="D122" s="43">
        <v>554842</v>
      </c>
      <c r="E122" s="40">
        <v>339.72</v>
      </c>
      <c r="F122" s="40">
        <v>538.78</v>
      </c>
      <c r="G122" s="44">
        <v>1.013</v>
      </c>
      <c r="H122" s="45">
        <v>1.60688</v>
      </c>
    </row>
    <row r="123" spans="1:8" ht="22.5" customHeight="1" hidden="1">
      <c r="A123" s="34" t="s">
        <v>101</v>
      </c>
      <c r="B123" s="16">
        <f t="shared" si="8"/>
        <v>908979</v>
      </c>
      <c r="C123" s="43">
        <v>351207</v>
      </c>
      <c r="D123" s="43">
        <v>557772</v>
      </c>
      <c r="E123" s="40">
        <v>340.78</v>
      </c>
      <c r="F123" s="40">
        <v>541.22</v>
      </c>
      <c r="G123" s="44">
        <v>1.0144</v>
      </c>
      <c r="H123" s="45">
        <v>1.6111</v>
      </c>
    </row>
    <row r="124" spans="1:8" ht="22.5" customHeight="1" hidden="1">
      <c r="A124" s="34" t="s">
        <v>102</v>
      </c>
      <c r="B124" s="16">
        <f t="shared" si="8"/>
        <v>911793</v>
      </c>
      <c r="C124" s="43">
        <v>352119</v>
      </c>
      <c r="D124" s="43">
        <v>559674</v>
      </c>
      <c r="E124" s="40">
        <v>341.488</v>
      </c>
      <c r="F124" s="40">
        <v>542.777</v>
      </c>
      <c r="G124" s="44">
        <v>1.01616</v>
      </c>
      <c r="H124" s="45">
        <v>1.61514</v>
      </c>
    </row>
    <row r="125" spans="1:8" ht="22.5" customHeight="1" hidden="1">
      <c r="A125" s="34" t="s">
        <v>103</v>
      </c>
      <c r="B125" s="16">
        <f t="shared" si="8"/>
        <v>914251</v>
      </c>
      <c r="C125" s="43">
        <v>353017</v>
      </c>
      <c r="D125" s="43">
        <v>561234</v>
      </c>
      <c r="E125" s="40">
        <v>342.07</v>
      </c>
      <c r="F125" s="40">
        <v>543.82</v>
      </c>
      <c r="G125" s="44">
        <v>1.0172</v>
      </c>
      <c r="H125" s="45">
        <v>1.61719</v>
      </c>
    </row>
    <row r="126" spans="1:8" ht="22.5" customHeight="1" hidden="1">
      <c r="A126" s="34" t="s">
        <v>104</v>
      </c>
      <c r="B126" s="16">
        <f t="shared" si="8"/>
        <v>914483</v>
      </c>
      <c r="C126" s="43">
        <v>352472</v>
      </c>
      <c r="D126" s="43">
        <v>562011</v>
      </c>
      <c r="E126" s="40">
        <v>341.29</v>
      </c>
      <c r="F126" s="40">
        <v>544.17</v>
      </c>
      <c r="G126" s="44">
        <v>1.0146</v>
      </c>
      <c r="H126" s="45">
        <v>1.6178</v>
      </c>
    </row>
    <row r="127" spans="1:8" ht="22.5" customHeight="1">
      <c r="A127" s="23" t="s">
        <v>121</v>
      </c>
      <c r="B127" s="24">
        <f>SUM(C127+D127)</f>
        <v>935805</v>
      </c>
      <c r="C127" s="24">
        <v>355162</v>
      </c>
      <c r="D127" s="24">
        <v>580643</v>
      </c>
      <c r="E127" s="46">
        <v>340.09</v>
      </c>
      <c r="F127" s="46">
        <v>556</v>
      </c>
      <c r="G127" s="47">
        <v>1.00418</v>
      </c>
      <c r="H127" s="48">
        <v>1.6417</v>
      </c>
    </row>
    <row r="128" spans="1:8" ht="22.5" customHeight="1" hidden="1">
      <c r="A128" s="34" t="s">
        <v>93</v>
      </c>
      <c r="B128" s="16">
        <f t="shared" si="8"/>
        <v>916897</v>
      </c>
      <c r="C128" s="43">
        <v>353802</v>
      </c>
      <c r="D128" s="43">
        <v>563095</v>
      </c>
      <c r="E128" s="40">
        <v>342.27</v>
      </c>
      <c r="F128" s="40">
        <v>544.74</v>
      </c>
      <c r="G128" s="44">
        <v>1.0172</v>
      </c>
      <c r="H128" s="45">
        <v>1.6189</v>
      </c>
    </row>
    <row r="129" spans="1:8" ht="22.5" customHeight="1" hidden="1">
      <c r="A129" s="34" t="s">
        <v>105</v>
      </c>
      <c r="B129" s="16">
        <f t="shared" si="8"/>
        <v>916624</v>
      </c>
      <c r="C129" s="43">
        <v>352786</v>
      </c>
      <c r="D129" s="43">
        <v>563838</v>
      </c>
      <c r="E129" s="40">
        <v>341.12</v>
      </c>
      <c r="F129" s="40">
        <v>545.19</v>
      </c>
      <c r="G129" s="44">
        <v>1.01322</v>
      </c>
      <c r="H129" s="45">
        <v>1.6193</v>
      </c>
    </row>
    <row r="130" spans="1:8" ht="22.5" customHeight="1" hidden="1">
      <c r="A130" s="34" t="s">
        <v>106</v>
      </c>
      <c r="B130" s="16">
        <f t="shared" si="8"/>
        <v>917867</v>
      </c>
      <c r="C130" s="43">
        <v>352423</v>
      </c>
      <c r="D130" s="43">
        <v>565444</v>
      </c>
      <c r="E130" s="40">
        <v>340.41</v>
      </c>
      <c r="F130" s="40">
        <v>546.17</v>
      </c>
      <c r="G130" s="44">
        <v>1.01042</v>
      </c>
      <c r="H130" s="45">
        <v>1.62117</v>
      </c>
    </row>
    <row r="131" spans="1:8" ht="22.5" customHeight="1" hidden="1">
      <c r="A131" s="34" t="s">
        <v>107</v>
      </c>
      <c r="B131" s="16">
        <f t="shared" si="8"/>
        <v>919391</v>
      </c>
      <c r="C131" s="43">
        <v>352947</v>
      </c>
      <c r="D131" s="43">
        <v>566444</v>
      </c>
      <c r="E131" s="40">
        <v>340.6</v>
      </c>
      <c r="F131" s="40">
        <v>546.62</v>
      </c>
      <c r="G131" s="44">
        <v>1.01046</v>
      </c>
      <c r="H131" s="45">
        <v>1.62169</v>
      </c>
    </row>
    <row r="132" spans="1:8" ht="22.5" customHeight="1" hidden="1">
      <c r="A132" s="34" t="s">
        <v>113</v>
      </c>
      <c r="B132" s="16">
        <f t="shared" si="8"/>
        <v>920676</v>
      </c>
      <c r="C132" s="43">
        <v>353033</v>
      </c>
      <c r="D132" s="43">
        <v>567643</v>
      </c>
      <c r="E132" s="40">
        <v>340.296</v>
      </c>
      <c r="F132" s="40">
        <v>547.16</v>
      </c>
      <c r="G132" s="44">
        <v>1.0086</v>
      </c>
      <c r="H132" s="45">
        <v>1.62179</v>
      </c>
    </row>
    <row r="133" spans="1:8" ht="22.5" customHeight="1" hidden="1">
      <c r="A133" s="34" t="s">
        <v>114</v>
      </c>
      <c r="B133" s="16">
        <f t="shared" si="8"/>
        <v>922611</v>
      </c>
      <c r="C133" s="43">
        <v>353227</v>
      </c>
      <c r="D133" s="43">
        <v>569384</v>
      </c>
      <c r="E133" s="40">
        <v>339.98</v>
      </c>
      <c r="F133" s="40">
        <v>548.03</v>
      </c>
      <c r="G133" s="44">
        <v>1.00646</v>
      </c>
      <c r="H133" s="45">
        <v>1.6223</v>
      </c>
    </row>
    <row r="134" spans="1:8" ht="22.5" customHeight="1" hidden="1">
      <c r="A134" s="34" t="s">
        <v>115</v>
      </c>
      <c r="B134" s="16">
        <f t="shared" si="8"/>
        <v>925140</v>
      </c>
      <c r="C134" s="43">
        <v>353888</v>
      </c>
      <c r="D134" s="43">
        <v>571252</v>
      </c>
      <c r="E134" s="40">
        <v>340.33</v>
      </c>
      <c r="F134" s="40">
        <v>549.37</v>
      </c>
      <c r="G134" s="44">
        <v>1.0067</v>
      </c>
      <c r="H134" s="45">
        <v>1.625</v>
      </c>
    </row>
    <row r="135" spans="1:8" ht="22.5" customHeight="1" hidden="1">
      <c r="A135" s="34" t="s">
        <v>116</v>
      </c>
      <c r="B135" s="16">
        <f t="shared" si="8"/>
        <v>927390</v>
      </c>
      <c r="C135" s="43">
        <v>354243</v>
      </c>
      <c r="D135" s="43">
        <v>573147</v>
      </c>
      <c r="E135" s="40">
        <v>340.38</v>
      </c>
      <c r="F135" s="40">
        <v>550.72</v>
      </c>
      <c r="G135" s="44">
        <v>1.00549</v>
      </c>
      <c r="H135" s="45">
        <v>1.62684</v>
      </c>
    </row>
    <row r="136" spans="1:8" ht="22.5" customHeight="1" hidden="1">
      <c r="A136" s="34" t="s">
        <v>117</v>
      </c>
      <c r="B136" s="16">
        <f t="shared" si="8"/>
        <v>931096</v>
      </c>
      <c r="C136" s="43">
        <v>354616</v>
      </c>
      <c r="D136" s="43">
        <v>576480</v>
      </c>
      <c r="E136" s="40">
        <v>340.5</v>
      </c>
      <c r="F136" s="40">
        <v>553.53</v>
      </c>
      <c r="G136" s="44">
        <v>1.00366</v>
      </c>
      <c r="H136" s="45">
        <v>1.6316</v>
      </c>
    </row>
    <row r="137" spans="1:8" ht="22.5" customHeight="1" hidden="1">
      <c r="A137" s="34" t="s">
        <v>118</v>
      </c>
      <c r="B137" s="16">
        <f t="shared" si="8"/>
        <v>932818</v>
      </c>
      <c r="C137" s="43">
        <v>354753</v>
      </c>
      <c r="D137" s="43">
        <v>578065</v>
      </c>
      <c r="E137" s="40">
        <v>340.28</v>
      </c>
      <c r="F137" s="40">
        <v>554.48</v>
      </c>
      <c r="G137" s="44">
        <v>1.0033</v>
      </c>
      <c r="H137" s="45">
        <v>1.6349</v>
      </c>
    </row>
    <row r="138" spans="1:8" ht="22.5" customHeight="1" hidden="1">
      <c r="A138" s="34" t="s">
        <v>119</v>
      </c>
      <c r="B138" s="16">
        <f t="shared" si="8"/>
        <v>934545</v>
      </c>
      <c r="C138" s="43">
        <v>354999</v>
      </c>
      <c r="D138" s="43">
        <v>579546</v>
      </c>
      <c r="E138" s="40">
        <v>340.25</v>
      </c>
      <c r="F138" s="40">
        <v>555.48</v>
      </c>
      <c r="G138" s="44">
        <v>1.00315</v>
      </c>
      <c r="H138" s="45">
        <v>1.63768</v>
      </c>
    </row>
    <row r="139" spans="1:8" ht="22.5" customHeight="1" hidden="1">
      <c r="A139" s="34" t="s">
        <v>120</v>
      </c>
      <c r="B139" s="16">
        <f t="shared" si="8"/>
        <v>935805</v>
      </c>
      <c r="C139" s="43">
        <v>355162</v>
      </c>
      <c r="D139" s="43">
        <v>580643</v>
      </c>
      <c r="E139" s="40">
        <v>340.09</v>
      </c>
      <c r="F139" s="40">
        <v>556</v>
      </c>
      <c r="G139" s="44">
        <v>1.00418</v>
      </c>
      <c r="H139" s="45">
        <v>1.6417</v>
      </c>
    </row>
    <row r="140" spans="1:8" ht="22.5" customHeight="1">
      <c r="A140" s="23" t="s">
        <v>122</v>
      </c>
      <c r="B140" s="24">
        <v>959964</v>
      </c>
      <c r="C140" s="24">
        <v>359497</v>
      </c>
      <c r="D140" s="24">
        <v>600467</v>
      </c>
      <c r="E140" s="46">
        <v>340.47</v>
      </c>
      <c r="F140" s="46">
        <v>568.68</v>
      </c>
      <c r="G140" s="47">
        <v>0.99445</v>
      </c>
      <c r="H140" s="48">
        <v>1.661</v>
      </c>
    </row>
    <row r="141" spans="1:8" ht="22.5" customHeight="1" hidden="1">
      <c r="A141" s="34" t="s">
        <v>124</v>
      </c>
      <c r="B141" s="16">
        <f t="shared" si="8"/>
        <v>937834</v>
      </c>
      <c r="C141" s="43">
        <v>356190</v>
      </c>
      <c r="D141" s="43">
        <v>581644</v>
      </c>
      <c r="E141" s="40">
        <v>340.89</v>
      </c>
      <c r="F141" s="40">
        <v>556.65</v>
      </c>
      <c r="G141" s="44">
        <v>1.00615</v>
      </c>
      <c r="H141" s="45">
        <v>1.643</v>
      </c>
    </row>
    <row r="142" spans="1:8" ht="22.5" customHeight="1" hidden="1">
      <c r="A142" s="34" t="s">
        <v>125</v>
      </c>
      <c r="B142" s="16">
        <f t="shared" si="8"/>
        <v>939747</v>
      </c>
      <c r="C142" s="43">
        <v>356907</v>
      </c>
      <c r="D142" s="43">
        <v>582840</v>
      </c>
      <c r="E142" s="40">
        <v>341.47</v>
      </c>
      <c r="F142" s="40">
        <v>557.63</v>
      </c>
      <c r="G142" s="44">
        <v>1.008</v>
      </c>
      <c r="H142" s="45">
        <v>1.6464</v>
      </c>
    </row>
    <row r="143" spans="1:8" ht="22.5" customHeight="1" hidden="1">
      <c r="A143" s="34" t="s">
        <v>126</v>
      </c>
      <c r="B143" s="16">
        <f t="shared" si="8"/>
        <v>941962</v>
      </c>
      <c r="C143" s="43">
        <v>356798</v>
      </c>
      <c r="D143" s="43">
        <v>585164</v>
      </c>
      <c r="E143" s="40">
        <v>340.99</v>
      </c>
      <c r="F143" s="40">
        <v>559.23</v>
      </c>
      <c r="G143" s="44">
        <v>1.00526</v>
      </c>
      <c r="H143" s="45">
        <v>1.64867</v>
      </c>
    </row>
    <row r="144" spans="1:8" ht="22.5" customHeight="1" hidden="1">
      <c r="A144" s="34" t="s">
        <v>127</v>
      </c>
      <c r="B144" s="16">
        <f t="shared" si="8"/>
        <v>943287</v>
      </c>
      <c r="C144" s="43">
        <v>357066</v>
      </c>
      <c r="D144" s="43">
        <v>586221</v>
      </c>
      <c r="E144" s="40">
        <v>340.81</v>
      </c>
      <c r="F144" s="40">
        <v>559.54</v>
      </c>
      <c r="G144" s="44">
        <v>1.00397</v>
      </c>
      <c r="H144" s="45">
        <v>1.64829</v>
      </c>
    </row>
    <row r="145" spans="1:8" ht="22.5" customHeight="1" hidden="1">
      <c r="A145" s="34" t="s">
        <v>128</v>
      </c>
      <c r="B145" s="16">
        <f t="shared" si="8"/>
        <v>945026</v>
      </c>
      <c r="C145" s="43">
        <v>357112</v>
      </c>
      <c r="D145" s="43">
        <v>587914</v>
      </c>
      <c r="E145" s="40">
        <v>340.41</v>
      </c>
      <c r="F145" s="40">
        <v>560.42</v>
      </c>
      <c r="G145" s="44">
        <v>1.0012</v>
      </c>
      <c r="H145" s="45">
        <v>1.6483</v>
      </c>
    </row>
    <row r="146" spans="1:8" ht="22.5" customHeight="1" hidden="1">
      <c r="A146" s="34" t="s">
        <v>129</v>
      </c>
      <c r="B146" s="16">
        <f t="shared" si="8"/>
        <v>947095</v>
      </c>
      <c r="C146" s="43">
        <v>357907</v>
      </c>
      <c r="D146" s="43">
        <v>589188</v>
      </c>
      <c r="E146" s="40">
        <v>340.81</v>
      </c>
      <c r="F146" s="40">
        <v>561.05</v>
      </c>
      <c r="G146" s="44">
        <v>1.0009</v>
      </c>
      <c r="H146" s="45">
        <v>1.64769</v>
      </c>
    </row>
    <row r="147" spans="1:8" ht="22.5" customHeight="1" hidden="1">
      <c r="A147" s="34" t="s">
        <v>130</v>
      </c>
      <c r="B147" s="16">
        <f t="shared" si="8"/>
        <v>949272</v>
      </c>
      <c r="C147" s="43">
        <v>358078</v>
      </c>
      <c r="D147" s="43">
        <v>591194</v>
      </c>
      <c r="E147" s="40">
        <v>340.67</v>
      </c>
      <c r="F147" s="40">
        <v>562.46</v>
      </c>
      <c r="G147" s="44">
        <v>0.99945</v>
      </c>
      <c r="H147" s="45">
        <v>1.65012</v>
      </c>
    </row>
    <row r="148" spans="1:8" ht="22.5" customHeight="1" hidden="1">
      <c r="A148" s="34" t="s">
        <v>131</v>
      </c>
      <c r="B148" s="16">
        <f t="shared" si="8"/>
        <v>951160</v>
      </c>
      <c r="C148" s="43">
        <v>358148</v>
      </c>
      <c r="D148" s="43">
        <v>593012</v>
      </c>
      <c r="E148" s="40">
        <v>340.41</v>
      </c>
      <c r="F148" s="40">
        <v>563.64</v>
      </c>
      <c r="G148" s="44">
        <v>0.99715</v>
      </c>
      <c r="H148" s="45">
        <v>1.65105</v>
      </c>
    </row>
    <row r="149" spans="1:8" ht="22.5" customHeight="1" hidden="1">
      <c r="A149" s="34" t="s">
        <v>132</v>
      </c>
      <c r="B149" s="16">
        <f t="shared" si="8"/>
        <v>954901</v>
      </c>
      <c r="C149" s="43">
        <v>358945</v>
      </c>
      <c r="D149" s="43">
        <v>595956</v>
      </c>
      <c r="E149" s="40">
        <v>340.9</v>
      </c>
      <c r="F149" s="40">
        <v>565.99</v>
      </c>
      <c r="G149" s="44">
        <v>1.0036</v>
      </c>
      <c r="H149" s="45">
        <v>1.6544</v>
      </c>
    </row>
    <row r="150" spans="1:8" ht="22.5" customHeight="1" hidden="1">
      <c r="A150" s="34" t="s">
        <v>133</v>
      </c>
      <c r="B150" s="16">
        <f t="shared" si="8"/>
        <v>956292</v>
      </c>
      <c r="C150" s="43">
        <v>358633</v>
      </c>
      <c r="D150" s="43">
        <v>597659</v>
      </c>
      <c r="E150" s="40">
        <v>340.31</v>
      </c>
      <c r="F150" s="40">
        <v>567.13</v>
      </c>
      <c r="G150" s="44">
        <v>0.9945</v>
      </c>
      <c r="H150" s="45">
        <v>1.6574</v>
      </c>
    </row>
    <row r="151" spans="1:8" ht="22.5" customHeight="1" hidden="1">
      <c r="A151" s="34" t="s">
        <v>134</v>
      </c>
      <c r="B151" s="16">
        <f t="shared" si="8"/>
        <v>958301</v>
      </c>
      <c r="C151" s="43">
        <v>359133</v>
      </c>
      <c r="D151" s="43">
        <v>599168</v>
      </c>
      <c r="E151" s="40">
        <v>340.46</v>
      </c>
      <c r="F151" s="40">
        <v>568.02</v>
      </c>
      <c r="G151" s="44">
        <v>0.99455</v>
      </c>
      <c r="H151" s="45">
        <v>1.6592</v>
      </c>
    </row>
    <row r="152" spans="1:8" ht="22.5" customHeight="1" hidden="1">
      <c r="A152" s="34" t="s">
        <v>123</v>
      </c>
      <c r="B152" s="16">
        <f t="shared" si="8"/>
        <v>959964</v>
      </c>
      <c r="C152" s="43">
        <v>359497</v>
      </c>
      <c r="D152" s="43">
        <v>600467</v>
      </c>
      <c r="E152" s="40">
        <v>340.47</v>
      </c>
      <c r="F152" s="40">
        <v>568.68</v>
      </c>
      <c r="G152" s="44">
        <v>0.99445</v>
      </c>
      <c r="H152" s="45">
        <v>1.661</v>
      </c>
    </row>
    <row r="153" spans="1:8" ht="22.5" customHeight="1">
      <c r="A153" s="23" t="s">
        <v>149</v>
      </c>
      <c r="B153" s="24">
        <v>989724</v>
      </c>
      <c r="C153" s="24">
        <v>357989</v>
      </c>
      <c r="D153" s="24">
        <v>631735</v>
      </c>
      <c r="E153" s="46">
        <v>335.78</v>
      </c>
      <c r="F153" s="46">
        <v>592.55</v>
      </c>
      <c r="G153" s="47">
        <v>0.9692</v>
      </c>
      <c r="H153" s="48">
        <v>1.7103</v>
      </c>
    </row>
    <row r="154" spans="1:8" ht="22.5" customHeight="1" hidden="1">
      <c r="A154" s="34" t="s">
        <v>124</v>
      </c>
      <c r="B154" s="16">
        <f aca="true" t="shared" si="9" ref="B154:B160">SUM(C154+D154)</f>
        <v>961475</v>
      </c>
      <c r="C154" s="43">
        <v>359539</v>
      </c>
      <c r="D154" s="43">
        <v>601936</v>
      </c>
      <c r="E154" s="40">
        <v>340.15</v>
      </c>
      <c r="F154" s="40">
        <v>569.48</v>
      </c>
      <c r="G154" s="44">
        <v>0.9933</v>
      </c>
      <c r="H154" s="45">
        <v>1.26299</v>
      </c>
    </row>
    <row r="155" spans="1:8" ht="22.5" customHeight="1" hidden="1">
      <c r="A155" s="34" t="s">
        <v>125</v>
      </c>
      <c r="B155" s="16">
        <f t="shared" si="9"/>
        <v>962648</v>
      </c>
      <c r="C155" s="43">
        <v>359620</v>
      </c>
      <c r="D155" s="43">
        <v>603028</v>
      </c>
      <c r="E155" s="40">
        <v>339.98</v>
      </c>
      <c r="F155" s="40">
        <v>570.09</v>
      </c>
      <c r="G155" s="44">
        <v>0.9927</v>
      </c>
      <c r="H155" s="45">
        <v>1.6646</v>
      </c>
    </row>
    <row r="156" spans="1:8" ht="22.5" customHeight="1" hidden="1">
      <c r="A156" s="34" t="s">
        <v>126</v>
      </c>
      <c r="B156" s="16">
        <f t="shared" si="9"/>
        <v>964769</v>
      </c>
      <c r="C156" s="43">
        <v>359807</v>
      </c>
      <c r="D156" s="43">
        <v>604962</v>
      </c>
      <c r="E156" s="40">
        <v>339.91</v>
      </c>
      <c r="F156" s="40">
        <v>571.51</v>
      </c>
      <c r="G156" s="44">
        <v>0.9915</v>
      </c>
      <c r="H156" s="45">
        <v>1.6671</v>
      </c>
    </row>
    <row r="157" spans="1:8" ht="22.5" customHeight="1" hidden="1">
      <c r="A157" s="34" t="s">
        <v>127</v>
      </c>
      <c r="B157" s="16">
        <f t="shared" si="9"/>
        <v>967010</v>
      </c>
      <c r="C157" s="43">
        <v>359160</v>
      </c>
      <c r="D157" s="43">
        <v>607850</v>
      </c>
      <c r="E157" s="40">
        <v>338.89</v>
      </c>
      <c r="F157" s="40">
        <v>573.54</v>
      </c>
      <c r="G157" s="44">
        <v>0.9872</v>
      </c>
      <c r="H157" s="45">
        <v>1.6707</v>
      </c>
    </row>
    <row r="158" spans="1:8" ht="22.5" customHeight="1" hidden="1">
      <c r="A158" s="34" t="s">
        <v>128</v>
      </c>
      <c r="B158" s="16">
        <f t="shared" si="9"/>
        <v>969557</v>
      </c>
      <c r="C158" s="43">
        <v>359491</v>
      </c>
      <c r="D158" s="43">
        <v>610066</v>
      </c>
      <c r="E158" s="40">
        <v>338.8</v>
      </c>
      <c r="F158" s="40">
        <v>574.96</v>
      </c>
      <c r="G158" s="44">
        <v>0.9853</v>
      </c>
      <c r="H158" s="45">
        <v>1.6721</v>
      </c>
    </row>
    <row r="159" spans="1:8" ht="22.5" customHeight="1" hidden="1">
      <c r="A159" s="34" t="s">
        <v>129</v>
      </c>
      <c r="B159" s="16">
        <f t="shared" si="9"/>
        <v>973176</v>
      </c>
      <c r="C159" s="43">
        <v>359369</v>
      </c>
      <c r="D159" s="43">
        <v>613807</v>
      </c>
      <c r="E159" s="40">
        <v>338.31</v>
      </c>
      <c r="F159" s="40">
        <v>577.84</v>
      </c>
      <c r="G159" s="44">
        <v>0.9822</v>
      </c>
      <c r="H159" s="45">
        <v>1.6776</v>
      </c>
    </row>
    <row r="160" spans="1:8" ht="22.5" customHeight="1" hidden="1">
      <c r="A160" s="34" t="s">
        <v>130</v>
      </c>
      <c r="B160" s="16">
        <f t="shared" si="9"/>
        <v>975252</v>
      </c>
      <c r="C160" s="43">
        <v>358758</v>
      </c>
      <c r="D160" s="43">
        <v>616494</v>
      </c>
      <c r="E160" s="40">
        <v>337.52</v>
      </c>
      <c r="F160" s="40">
        <v>579.99</v>
      </c>
      <c r="G160" s="44">
        <v>0.9787</v>
      </c>
      <c r="H160" s="45">
        <v>1.6818</v>
      </c>
    </row>
    <row r="161" spans="1:8" ht="22.5" customHeight="1" hidden="1">
      <c r="A161" s="34" t="s">
        <v>131</v>
      </c>
      <c r="B161" s="16">
        <v>977215</v>
      </c>
      <c r="C161" s="43">
        <v>358885</v>
      </c>
      <c r="D161" s="43">
        <v>618330</v>
      </c>
      <c r="E161" s="40">
        <v>337.48</v>
      </c>
      <c r="F161" s="40">
        <v>581.45</v>
      </c>
      <c r="G161" s="44">
        <v>0.9768</v>
      </c>
      <c r="H161" s="45">
        <v>1.683</v>
      </c>
    </row>
    <row r="162" spans="1:8" ht="22.5" customHeight="1" hidden="1">
      <c r="A162" s="34" t="s">
        <v>132</v>
      </c>
      <c r="B162" s="16">
        <f>SUM(C162+D162)</f>
        <v>979252</v>
      </c>
      <c r="C162" s="43">
        <v>358332</v>
      </c>
      <c r="D162" s="43">
        <v>620920</v>
      </c>
      <c r="E162" s="40">
        <v>336.84</v>
      </c>
      <c r="F162" s="40">
        <v>583.68</v>
      </c>
      <c r="G162" s="44">
        <v>0.9729</v>
      </c>
      <c r="H162" s="45">
        <v>1.6858</v>
      </c>
    </row>
    <row r="163" spans="1:8" ht="22.5" customHeight="1" hidden="1">
      <c r="A163" s="34" t="s">
        <v>133</v>
      </c>
      <c r="B163" s="16">
        <f>SUM(C163+D163)</f>
        <v>982808</v>
      </c>
      <c r="C163" s="43">
        <v>358337</v>
      </c>
      <c r="D163" s="43">
        <v>624471</v>
      </c>
      <c r="E163" s="40">
        <v>336.64</v>
      </c>
      <c r="F163" s="40">
        <v>586.67</v>
      </c>
      <c r="G163" s="44">
        <v>0.9721</v>
      </c>
      <c r="H163" s="45">
        <v>1.694</v>
      </c>
    </row>
    <row r="164" spans="1:8" ht="22.5" customHeight="1" hidden="1">
      <c r="A164" s="34" t="s">
        <v>134</v>
      </c>
      <c r="B164" s="16">
        <f>SUM(C164+D164)</f>
        <v>985574</v>
      </c>
      <c r="C164" s="43">
        <v>358638</v>
      </c>
      <c r="D164" s="43">
        <v>626936</v>
      </c>
      <c r="E164" s="40">
        <v>336.72</v>
      </c>
      <c r="F164" s="40">
        <v>588.62</v>
      </c>
      <c r="G164" s="44">
        <v>0.9713</v>
      </c>
      <c r="H164" s="45">
        <v>1.6979</v>
      </c>
    </row>
    <row r="165" spans="1:8" ht="22.5" customHeight="1" hidden="1">
      <c r="A165" s="34" t="s">
        <v>135</v>
      </c>
      <c r="B165" s="16">
        <f>SUM(C165+D165)</f>
        <v>989724</v>
      </c>
      <c r="C165" s="43">
        <v>357989</v>
      </c>
      <c r="D165" s="43">
        <v>631735</v>
      </c>
      <c r="E165" s="40">
        <v>335.78</v>
      </c>
      <c r="F165" s="40">
        <v>592.55</v>
      </c>
      <c r="G165" s="44">
        <v>0.9692</v>
      </c>
      <c r="H165" s="45">
        <v>1.7103</v>
      </c>
    </row>
    <row r="166" spans="1:8" ht="22.5" customHeight="1">
      <c r="A166" s="49" t="s">
        <v>148</v>
      </c>
      <c r="B166" s="24">
        <v>1009889</v>
      </c>
      <c r="C166" s="24">
        <v>363150</v>
      </c>
      <c r="D166" s="24">
        <v>646739</v>
      </c>
      <c r="E166" s="46">
        <v>338.38480077787034</v>
      </c>
      <c r="F166" s="46">
        <v>602.6343044755035</v>
      </c>
      <c r="G166" s="47">
        <v>0.9625068911411729</v>
      </c>
      <c r="H166" s="48">
        <v>1.714142211950299</v>
      </c>
    </row>
    <row r="167" spans="1:8" ht="22.5" customHeight="1" hidden="1">
      <c r="A167" s="34" t="s">
        <v>136</v>
      </c>
      <c r="B167" s="16">
        <f>C167+D167</f>
        <v>990508</v>
      </c>
      <c r="C167" s="51">
        <v>358502</v>
      </c>
      <c r="D167" s="51">
        <v>632006</v>
      </c>
      <c r="E167" s="50">
        <v>336.0400733753701</v>
      </c>
      <c r="F167" s="40">
        <v>592.4076926033165</v>
      </c>
      <c r="G167" s="44">
        <v>0.9702</v>
      </c>
      <c r="H167" s="45">
        <v>1.7104</v>
      </c>
    </row>
    <row r="168" spans="1:8" ht="22.5" customHeight="1" hidden="1">
      <c r="A168" s="34" t="s">
        <v>137</v>
      </c>
      <c r="B168" s="16">
        <f>C168+D168</f>
        <v>990612</v>
      </c>
      <c r="C168" s="51">
        <v>358193</v>
      </c>
      <c r="D168" s="51">
        <v>632419</v>
      </c>
      <c r="E168" s="50">
        <v>335.59</v>
      </c>
      <c r="F168" s="40">
        <v>592.5</v>
      </c>
      <c r="G168" s="44">
        <v>0.9679</v>
      </c>
      <c r="H168" s="45">
        <v>1.7089</v>
      </c>
    </row>
    <row r="169" spans="1:8" ht="22.5" customHeight="1" hidden="1">
      <c r="A169" s="34" t="s">
        <v>138</v>
      </c>
      <c r="B169" s="52">
        <f>C169+D169</f>
        <v>990311</v>
      </c>
      <c r="C169" s="53">
        <v>358082</v>
      </c>
      <c r="D169" s="51">
        <v>632229</v>
      </c>
      <c r="E169" s="50">
        <v>335.2979980832463</v>
      </c>
      <c r="F169" s="54">
        <v>592.0016030690532</v>
      </c>
      <c r="G169" s="45">
        <v>0.9652768604955211</v>
      </c>
      <c r="H169" s="45">
        <v>1.704291263549195</v>
      </c>
    </row>
    <row r="170" spans="1:8" ht="22.5" customHeight="1" hidden="1">
      <c r="A170" s="34" t="s">
        <v>139</v>
      </c>
      <c r="B170" s="52">
        <v>991374</v>
      </c>
      <c r="C170" s="53">
        <v>358012</v>
      </c>
      <c r="D170" s="51">
        <v>633362</v>
      </c>
      <c r="E170" s="50">
        <v>334.9838689152875</v>
      </c>
      <c r="F170" s="54">
        <v>592.6227422095469</v>
      </c>
      <c r="G170" s="45">
        <v>0.9631020531141049</v>
      </c>
      <c r="H170" s="45">
        <v>1.7038318340291827</v>
      </c>
    </row>
    <row r="171" spans="1:8" ht="22.5" customHeight="1" hidden="1">
      <c r="A171" s="34" t="s">
        <v>140</v>
      </c>
      <c r="B171" s="52">
        <v>991116</v>
      </c>
      <c r="C171" s="53">
        <v>358033</v>
      </c>
      <c r="D171" s="51">
        <v>633083</v>
      </c>
      <c r="E171" s="50">
        <v>334.8755205641852</v>
      </c>
      <c r="F171" s="54">
        <v>592.1353595488015</v>
      </c>
      <c r="G171" s="45">
        <v>0.9617691698118276</v>
      </c>
      <c r="H171" s="45">
        <v>1.7006245550884451</v>
      </c>
    </row>
    <row r="172" spans="1:8" ht="22.5" customHeight="1" hidden="1">
      <c r="A172" s="34" t="s">
        <v>141</v>
      </c>
      <c r="B172" s="52">
        <v>991407</v>
      </c>
      <c r="C172" s="53">
        <v>358872</v>
      </c>
      <c r="D172" s="53">
        <v>632535</v>
      </c>
      <c r="E172" s="55">
        <v>335.472930812307</v>
      </c>
      <c r="F172" s="54">
        <v>591.2926343971183</v>
      </c>
      <c r="G172" s="45">
        <v>0.9618190492015931</v>
      </c>
      <c r="H172" s="45">
        <v>1.6952679849270205</v>
      </c>
    </row>
    <row r="173" spans="1:8" ht="22.5" customHeight="1" hidden="1">
      <c r="A173" s="34" t="s">
        <v>142</v>
      </c>
      <c r="B173" s="52">
        <v>991007</v>
      </c>
      <c r="C173" s="53">
        <v>359244</v>
      </c>
      <c r="D173" s="53">
        <v>631763</v>
      </c>
      <c r="E173" s="55">
        <v>335.61627838539016</v>
      </c>
      <c r="F173" s="54">
        <v>590.2115188606887</v>
      </c>
      <c r="G173" s="45">
        <v>0.9610825300769682</v>
      </c>
      <c r="H173" s="45">
        <v>1.690150378152497</v>
      </c>
    </row>
    <row r="174" spans="1:8" ht="22.5" customHeight="1" hidden="1">
      <c r="A174" s="34" t="s">
        <v>143</v>
      </c>
      <c r="B174" s="52">
        <v>992294</v>
      </c>
      <c r="C174" s="53">
        <v>359949</v>
      </c>
      <c r="D174" s="53">
        <v>632345</v>
      </c>
      <c r="E174" s="56">
        <v>336.17331068823023</v>
      </c>
      <c r="F174" s="54">
        <v>590.5767543378339</v>
      </c>
      <c r="G174" s="45">
        <v>0.9611942929013755</v>
      </c>
      <c r="H174" s="45">
        <v>1.6885903423671695</v>
      </c>
    </row>
    <row r="175" spans="1:8" ht="22.5" customHeight="1" hidden="1">
      <c r="A175" s="34" t="s">
        <v>144</v>
      </c>
      <c r="B175" s="52">
        <v>995460</v>
      </c>
      <c r="C175" s="53">
        <v>360382</v>
      </c>
      <c r="D175" s="53">
        <v>635078</v>
      </c>
      <c r="E175" s="55">
        <v>336.5054257673879</v>
      </c>
      <c r="F175" s="54">
        <v>593.00185021866</v>
      </c>
      <c r="G175" s="45">
        <v>0.9602453490788752</v>
      </c>
      <c r="H175" s="45">
        <v>1.692178565528561</v>
      </c>
    </row>
    <row r="176" spans="1:8" ht="22.5" customHeight="1" hidden="1">
      <c r="A176" s="34" t="s">
        <v>145</v>
      </c>
      <c r="B176" s="52">
        <v>998479</v>
      </c>
      <c r="C176" s="53">
        <v>361106</v>
      </c>
      <c r="D176" s="53">
        <v>637373</v>
      </c>
      <c r="E176" s="55">
        <v>336.999892210355</v>
      </c>
      <c r="F176" s="54">
        <v>594.8243238766196</v>
      </c>
      <c r="G176" s="45">
        <v>0.961203787255677</v>
      </c>
      <c r="H176" s="45">
        <v>1.6965803434296651</v>
      </c>
    </row>
    <row r="177" spans="1:8" ht="22.5" customHeight="1" hidden="1">
      <c r="A177" s="34" t="s">
        <v>146</v>
      </c>
      <c r="B177" s="52">
        <v>1001926</v>
      </c>
      <c r="C177" s="53">
        <v>361982</v>
      </c>
      <c r="D177" s="53">
        <v>639944</v>
      </c>
      <c r="E177" s="55">
        <v>337.5620837382104</v>
      </c>
      <c r="F177" s="54">
        <v>596.7722983898793</v>
      </c>
      <c r="G177" s="45">
        <v>0.9613910586185558</v>
      </c>
      <c r="H177" s="45">
        <v>1.6996326878590455</v>
      </c>
    </row>
    <row r="178" spans="1:8" ht="22.5" customHeight="1" hidden="1">
      <c r="A178" s="34" t="s">
        <v>147</v>
      </c>
      <c r="B178" s="52">
        <v>1009889</v>
      </c>
      <c r="C178" s="53">
        <v>363150</v>
      </c>
      <c r="D178" s="53">
        <v>646739</v>
      </c>
      <c r="E178" s="55">
        <v>338.38480077787034</v>
      </c>
      <c r="F178" s="54">
        <v>602.6343044755035</v>
      </c>
      <c r="G178" s="45">
        <v>0.9625068911411729</v>
      </c>
      <c r="H178" s="45">
        <v>1.714142211950299</v>
      </c>
    </row>
    <row r="179" spans="1:8" ht="3.75" customHeight="1">
      <c r="A179" s="34"/>
      <c r="B179" s="52"/>
      <c r="C179" s="53"/>
      <c r="D179" s="53"/>
      <c r="E179" s="55"/>
      <c r="F179" s="54"/>
      <c r="G179" s="45"/>
      <c r="H179" s="45"/>
    </row>
    <row r="180" spans="1:8" ht="22.5" customHeight="1">
      <c r="A180" s="49" t="s">
        <v>161</v>
      </c>
      <c r="B180" s="66">
        <v>1031803</v>
      </c>
      <c r="C180" s="67">
        <v>372057</v>
      </c>
      <c r="D180" s="67">
        <v>659746</v>
      </c>
      <c r="E180" s="68">
        <v>343.7654474410491</v>
      </c>
      <c r="F180" s="69">
        <v>609.5783143105556</v>
      </c>
      <c r="G180" s="48">
        <v>0.9653738174685134</v>
      </c>
      <c r="H180" s="48">
        <v>1.7118385478020353</v>
      </c>
    </row>
    <row r="181" spans="1:8" ht="22.5" customHeight="1">
      <c r="A181" s="34" t="s">
        <v>136</v>
      </c>
      <c r="B181" s="52">
        <v>1009988</v>
      </c>
      <c r="C181" s="53">
        <v>364038</v>
      </c>
      <c r="D181" s="53">
        <v>645950</v>
      </c>
      <c r="E181" s="55">
        <v>338.9691942686665</v>
      </c>
      <c r="F181" s="54">
        <v>601.4678441202433</v>
      </c>
      <c r="G181" s="45">
        <v>0.9634789605041327</v>
      </c>
      <c r="H181" s="45">
        <v>1.7095996421737416</v>
      </c>
    </row>
    <row r="182" spans="1:8" ht="22.5" customHeight="1">
      <c r="A182" s="34" t="s">
        <v>150</v>
      </c>
      <c r="B182" s="52">
        <v>1010097</v>
      </c>
      <c r="C182" s="53">
        <v>364579</v>
      </c>
      <c r="D182" s="53">
        <v>645518</v>
      </c>
      <c r="E182" s="55">
        <v>339.27359999702213</v>
      </c>
      <c r="F182" s="54">
        <v>600.712645881627</v>
      </c>
      <c r="G182" s="45">
        <v>0.964022898845803</v>
      </c>
      <c r="H182" s="45">
        <v>1.7068841968877666</v>
      </c>
    </row>
    <row r="183" spans="1:8" ht="22.5" customHeight="1">
      <c r="A183" s="34" t="s">
        <v>151</v>
      </c>
      <c r="B183" s="52">
        <v>1009826</v>
      </c>
      <c r="C183" s="53">
        <v>364864</v>
      </c>
      <c r="D183" s="53">
        <v>644962</v>
      </c>
      <c r="E183" s="55">
        <v>339.24143375027546</v>
      </c>
      <c r="F183" s="54">
        <v>599.6695579570611</v>
      </c>
      <c r="G183" s="45">
        <v>0.9618110931564698</v>
      </c>
      <c r="H183" s="45">
        <v>1.7001721360955948</v>
      </c>
    </row>
    <row r="184" spans="1:8" ht="22.5" customHeight="1">
      <c r="A184" s="34" t="s">
        <v>152</v>
      </c>
      <c r="B184" s="52">
        <v>1009793</v>
      </c>
      <c r="C184" s="53">
        <v>364780</v>
      </c>
      <c r="D184" s="53">
        <v>645013</v>
      </c>
      <c r="E184" s="55">
        <v>338.64286629371827</v>
      </c>
      <c r="F184" s="54">
        <v>598.7966750279897</v>
      </c>
      <c r="G184" s="45">
        <v>0.9592329922715451</v>
      </c>
      <c r="H184" s="45">
        <v>1.696139454038177</v>
      </c>
    </row>
    <row r="185" spans="1:8" ht="22.5" customHeight="1">
      <c r="A185" s="34" t="s">
        <v>153</v>
      </c>
      <c r="B185" s="52">
        <v>1011570</v>
      </c>
      <c r="C185" s="53">
        <v>365784</v>
      </c>
      <c r="D185" s="53">
        <v>645786</v>
      </c>
      <c r="E185" s="55">
        <v>339.31851324123653</v>
      </c>
      <c r="F185" s="54">
        <v>599.0615920652766</v>
      </c>
      <c r="G185" s="45">
        <v>0.9596700563548783</v>
      </c>
      <c r="H185" s="45">
        <v>1.6942826559204105</v>
      </c>
    </row>
    <row r="186" spans="1:8" ht="22.5" customHeight="1">
      <c r="A186" s="34" t="s">
        <v>154</v>
      </c>
      <c r="B186" s="52">
        <v>1013768</v>
      </c>
      <c r="C186" s="53">
        <v>366723</v>
      </c>
      <c r="D186" s="53">
        <v>647045</v>
      </c>
      <c r="E186" s="55">
        <v>340.1810536509889</v>
      </c>
      <c r="F186" s="54">
        <v>600.2144666672232</v>
      </c>
      <c r="G186" s="45">
        <v>0.96071455704327</v>
      </c>
      <c r="H186" s="45">
        <v>1.6950819843916598</v>
      </c>
    </row>
    <row r="187" spans="1:8" ht="22.5" customHeight="1">
      <c r="A187" s="34" t="s">
        <v>155</v>
      </c>
      <c r="B187" s="52">
        <v>1017563</v>
      </c>
      <c r="C187" s="53">
        <v>367864</v>
      </c>
      <c r="D187" s="53">
        <v>649699</v>
      </c>
      <c r="E187" s="55">
        <v>340.82214828835686</v>
      </c>
      <c r="F187" s="54">
        <v>601.9393279059576</v>
      </c>
      <c r="G187" s="45">
        <v>0.9616730932618783</v>
      </c>
      <c r="H187" s="45">
        <v>1.69844846742043</v>
      </c>
    </row>
    <row r="188" spans="1:8" ht="22.5" customHeight="1">
      <c r="A188" s="34" t="s">
        <v>156</v>
      </c>
      <c r="B188" s="52">
        <v>1020339</v>
      </c>
      <c r="C188" s="53">
        <v>368316</v>
      </c>
      <c r="D188" s="53">
        <v>652023</v>
      </c>
      <c r="E188" s="55">
        <v>340.9891310385691</v>
      </c>
      <c r="F188" s="54">
        <v>603.6467494954358</v>
      </c>
      <c r="G188" s="45">
        <v>0.9605971457185779</v>
      </c>
      <c r="H188" s="45">
        <v>1.7005273535302954</v>
      </c>
    </row>
    <row r="189" spans="1:8" ht="22.5" customHeight="1">
      <c r="A189" s="34" t="s">
        <v>157</v>
      </c>
      <c r="B189" s="52">
        <v>1025002</v>
      </c>
      <c r="C189" s="53">
        <v>369431</v>
      </c>
      <c r="D189" s="53">
        <v>655571</v>
      </c>
      <c r="E189" s="55">
        <v>341.8704314294519</v>
      </c>
      <c r="F189" s="54">
        <v>606.663600517112</v>
      </c>
      <c r="G189" s="45">
        <v>0.9614189498667555</v>
      </c>
      <c r="H189" s="45">
        <v>1.7060787599933378</v>
      </c>
    </row>
    <row r="190" spans="1:8" ht="22.5" customHeight="1">
      <c r="A190" s="34" t="s">
        <v>158</v>
      </c>
      <c r="B190" s="52">
        <v>1027994</v>
      </c>
      <c r="C190" s="53">
        <v>370439</v>
      </c>
      <c r="D190" s="53">
        <v>657555</v>
      </c>
      <c r="E190" s="55">
        <v>342.5274645002668</v>
      </c>
      <c r="F190" s="54">
        <v>608.0100824143055</v>
      </c>
      <c r="G190" s="45">
        <v>0.9630346957557102</v>
      </c>
      <c r="H190" s="45">
        <v>1.7094535925419463</v>
      </c>
    </row>
    <row r="191" spans="1:8" ht="22.5" customHeight="1">
      <c r="A191" s="34" t="s">
        <v>159</v>
      </c>
      <c r="B191" s="52">
        <v>1030392</v>
      </c>
      <c r="C191" s="53">
        <v>371367</v>
      </c>
      <c r="D191" s="53">
        <v>659025</v>
      </c>
      <c r="E191" s="55">
        <v>343.1710380044411</v>
      </c>
      <c r="F191" s="54">
        <v>608.9886643694157</v>
      </c>
      <c r="G191" s="45">
        <v>0.9647073798619572</v>
      </c>
      <c r="H191" s="45">
        <v>1.7119622395461265</v>
      </c>
    </row>
    <row r="192" spans="1:8" ht="22.5" customHeight="1">
      <c r="A192" s="34" t="s">
        <v>160</v>
      </c>
      <c r="B192" s="52">
        <v>1031803</v>
      </c>
      <c r="C192" s="53">
        <v>372057</v>
      </c>
      <c r="D192" s="53">
        <v>659746</v>
      </c>
      <c r="E192" s="55">
        <v>343.7654474410491</v>
      </c>
      <c r="F192" s="54">
        <v>609.5783143105556</v>
      </c>
      <c r="G192" s="45">
        <v>0.9653738174685134</v>
      </c>
      <c r="H192" s="45">
        <v>1.7118385478020353</v>
      </c>
    </row>
    <row r="193" spans="1:9" ht="37.5" customHeight="1">
      <c r="A193" s="58" t="s">
        <v>92</v>
      </c>
      <c r="B193" s="59">
        <v>0.1369381749858345</v>
      </c>
      <c r="C193" s="59">
        <v>0.1858000306973917</v>
      </c>
      <c r="D193" s="59">
        <v>0.10940404385266778</v>
      </c>
      <c r="E193" s="59">
        <v>0.17321083972137163</v>
      </c>
      <c r="F193" s="59">
        <v>0.09682445267686912</v>
      </c>
      <c r="G193" s="59">
        <v>0.06908183978560078</v>
      </c>
      <c r="H193" s="57">
        <v>-0.007225144412292828</v>
      </c>
      <c r="I193" s="11"/>
    </row>
    <row r="194" spans="1:9" ht="36" customHeight="1">
      <c r="A194" s="58" t="s">
        <v>45</v>
      </c>
      <c r="B194" s="57">
        <v>2.169941449010726</v>
      </c>
      <c r="C194" s="57">
        <v>2.4527054935976844</v>
      </c>
      <c r="D194" s="57">
        <v>2.0111667921680842</v>
      </c>
      <c r="E194" s="57">
        <v>1.5900970288292626</v>
      </c>
      <c r="F194" s="57">
        <v>1.1522758965896829</v>
      </c>
      <c r="G194" s="57">
        <v>0.2978603429988347</v>
      </c>
      <c r="H194" s="57">
        <v>-0.13439165853355028</v>
      </c>
      <c r="I194" s="11"/>
    </row>
    <row r="195" spans="1:8" ht="16.5">
      <c r="A195" s="61" t="s">
        <v>41</v>
      </c>
      <c r="B195" s="61"/>
      <c r="C195" s="61"/>
      <c r="D195" s="61"/>
      <c r="E195" s="61"/>
      <c r="F195" s="61"/>
      <c r="G195" s="61"/>
      <c r="H195" s="61"/>
    </row>
    <row r="196" ht="16.5">
      <c r="A196" s="10" t="s">
        <v>42</v>
      </c>
    </row>
    <row r="197" spans="1:8" ht="16.5">
      <c r="A197" s="60" t="s">
        <v>26</v>
      </c>
      <c r="B197" s="60"/>
      <c r="C197" s="60"/>
      <c r="D197" s="60"/>
      <c r="E197" s="60"/>
      <c r="F197" s="60"/>
      <c r="G197" s="60"/>
      <c r="H197" s="60"/>
    </row>
    <row r="198" ht="16.5">
      <c r="G198" s="14"/>
    </row>
    <row r="199" ht="16.5">
      <c r="E199" s="13"/>
    </row>
  </sheetData>
  <mergeCells count="6">
    <mergeCell ref="A197:H197"/>
    <mergeCell ref="A195:H195"/>
    <mergeCell ref="B3:B4"/>
    <mergeCell ref="C3:C4"/>
    <mergeCell ref="D3:D4"/>
    <mergeCell ref="A3:A4"/>
  </mergeCells>
  <printOptions horizontalCentered="1"/>
  <pageMargins left="0.35433070866141736" right="0.35433070866141736" top="0.7874015748031497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Lucky-Ting</dc:creator>
  <cp:keywords/>
  <dc:description/>
  <cp:lastModifiedBy>tccgod</cp:lastModifiedBy>
  <cp:lastPrinted>2009-03-31T03:08:11Z</cp:lastPrinted>
  <dcterms:created xsi:type="dcterms:W3CDTF">1998-03-14T14:37:03Z</dcterms:created>
  <dcterms:modified xsi:type="dcterms:W3CDTF">2011-02-18T03:42:50Z</dcterms:modified>
  <cp:category/>
  <cp:version/>
  <cp:contentType/>
  <cp:contentStatus/>
</cp:coreProperties>
</file>